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COLLEEN\24-25 Budget Info\State Forms\"/>
    </mc:Choice>
  </mc:AlternateContent>
  <xr:revisionPtr revIDLastSave="0" documentId="13_ncr:1_{BA1DD6F1-AA7A-466F-B455-AA2C28C812AA}" xr6:coauthVersionLast="47" xr6:coauthVersionMax="47" xr10:uidLastSave="{00000000-0000-0000-0000-000000000000}"/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720" yWindow="1185" windowWidth="23625" windowHeight="12480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" l="1"/>
  <c r="D78" i="2"/>
  <c r="F67" i="2"/>
  <c r="F65" i="2"/>
  <c r="D67" i="2"/>
  <c r="D65" i="2"/>
  <c r="F54" i="2"/>
  <c r="F52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F80" i="2"/>
  <c r="E80" i="2"/>
  <c r="D80" i="2"/>
  <c r="H78" i="2"/>
  <c r="E78" i="2"/>
  <c r="H77" i="2"/>
  <c r="F77" i="2"/>
  <c r="E77" i="2"/>
  <c r="D77" i="2"/>
  <c r="H76" i="2"/>
  <c r="F76" i="2"/>
  <c r="E76" i="2"/>
  <c r="D76" i="2"/>
  <c r="H75" i="2"/>
  <c r="F75" i="2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H58" i="2"/>
  <c r="F58" i="2"/>
  <c r="E58" i="2"/>
  <c r="D58" i="2"/>
  <c r="H57" i="2"/>
  <c r="F57" i="2"/>
  <c r="E57" i="2"/>
  <c r="D57" i="2"/>
  <c r="H56" i="2"/>
  <c r="F56" i="2"/>
  <c r="E56" i="2"/>
  <c r="D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C1" i="2"/>
  <c r="I59" i="2" l="1"/>
  <c r="I76" i="2"/>
  <c r="J78" i="2"/>
  <c r="F98" i="2"/>
  <c r="E96" i="2"/>
  <c r="F96" i="2" s="1"/>
  <c r="J57" i="2"/>
  <c r="J80" i="2"/>
  <c r="K21" i="2"/>
  <c r="J59" i="2"/>
  <c r="K59" i="2" s="1"/>
  <c r="J58" i="2"/>
  <c r="J67" i="2"/>
  <c r="I65" i="2"/>
  <c r="E93" i="2"/>
  <c r="F93" i="2" s="1"/>
  <c r="I69" i="2"/>
  <c r="I57" i="2"/>
  <c r="I75" i="2"/>
  <c r="F90" i="2"/>
  <c r="J76" i="2"/>
  <c r="K76" i="2" s="1"/>
  <c r="F92" i="2"/>
  <c r="J77" i="2"/>
  <c r="F100" i="2"/>
  <c r="J69" i="2"/>
  <c r="E92" i="2"/>
  <c r="E90" i="2"/>
  <c r="E100" i="2"/>
  <c r="I58" i="2"/>
  <c r="F97" i="2"/>
  <c r="H64" i="2"/>
  <c r="E94" i="2"/>
  <c r="F94" i="2" s="1"/>
  <c r="E74" i="2"/>
  <c r="E102" i="2"/>
  <c r="F102" i="2" s="1"/>
  <c r="H74" i="2"/>
  <c r="F103" i="2"/>
  <c r="F74" i="2"/>
  <c r="I67" i="2"/>
  <c r="I54" i="2"/>
  <c r="I60" i="2"/>
  <c r="I62" i="2"/>
  <c r="D74" i="2"/>
  <c r="I72" i="2"/>
  <c r="E91" i="2"/>
  <c r="E99" i="2"/>
  <c r="F99" i="2" s="1"/>
  <c r="E104" i="2"/>
  <c r="F104" i="2" s="1"/>
  <c r="J54" i="2"/>
  <c r="J60" i="2"/>
  <c r="J62" i="2"/>
  <c r="J70" i="2"/>
  <c r="J72" i="2"/>
  <c r="I78" i="2"/>
  <c r="I52" i="2"/>
  <c r="I61" i="2"/>
  <c r="I63" i="2"/>
  <c r="I71" i="2"/>
  <c r="I73" i="2"/>
  <c r="J75" i="2"/>
  <c r="I77" i="2"/>
  <c r="E95" i="2"/>
  <c r="F95" i="2" s="1"/>
  <c r="E103" i="2"/>
  <c r="E64" i="2"/>
  <c r="J56" i="2"/>
  <c r="J61" i="2"/>
  <c r="J63" i="2"/>
  <c r="J71" i="2"/>
  <c r="J73" i="2"/>
  <c r="I80" i="2"/>
  <c r="E98" i="2"/>
  <c r="A3" i="2"/>
  <c r="F64" i="2"/>
  <c r="F101" i="2"/>
  <c r="A21" i="2"/>
  <c r="I56" i="2"/>
  <c r="F91" i="2"/>
  <c r="D24" i="2"/>
  <c r="J52" i="2"/>
  <c r="J65" i="2"/>
  <c r="D64" i="2"/>
  <c r="I70" i="2"/>
  <c r="E89" i="2"/>
  <c r="F89" i="2" s="1"/>
  <c r="E97" i="2"/>
  <c r="E101" i="2"/>
  <c r="K78" i="2" l="1"/>
  <c r="K57" i="2"/>
  <c r="K69" i="2"/>
  <c r="K80" i="2"/>
  <c r="K77" i="2"/>
  <c r="K67" i="2"/>
  <c r="K58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64" i="2"/>
  <c r="K81" i="2" l="1"/>
</calcChain>
</file>

<file path=xl/sharedStrings.xml><?xml version="1.0" encoding="utf-8"?>
<sst xmlns="http://schemas.openxmlformats.org/spreadsheetml/2006/main" count="189" uniqueCount="152">
  <si>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</si>
  <si>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</si>
  <si>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</si>
  <si>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</si>
  <si>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</si>
  <si>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</si>
  <si>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</si>
  <si>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</si>
  <si>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</si>
  <si>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</si>
  <si>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</si>
  <si>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</si>
  <si>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</si>
  <si>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</si>
  <si>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</si>
  <si>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</si>
  <si>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</si>
  <si>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</si>
  <si>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</si>
  <si>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</si>
  <si>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</si>
  <si>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</si>
  <si>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</si>
  <si>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</si>
  <si>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</si>
  <si>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</si>
  <si>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</si>
  <si>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</si>
  <si>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</si>
  <si>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</si>
  <si>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</si>
  <si>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</si>
  <si>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</si>
  <si>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</si>
  <si>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</si>
  <si>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</si>
  <si>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</si>
  <si>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</si>
  <si>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</si>
  <si>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</si>
  <si>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</si>
  <si>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</si>
  <si>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</si>
  <si>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</si>
  <si>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</si>
  <si>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</si>
  <si>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</si>
  <si>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</si>
  <si>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</si>
  <si>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</si>
  <si>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</si>
  <si>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</si>
  <si>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</si>
  <si>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</si>
  <si>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</si>
  <si>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</si>
  <si>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</si>
  <si>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</si>
  <si>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</si>
  <si>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</si>
  <si>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</si>
  <si>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</si>
  <si>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</si>
  <si>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</si>
  <si>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</si>
  <si>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</si>
  <si>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</si>
  <si>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</si>
  <si>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</si>
  <si>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</si>
  <si>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</si>
  <si>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</si>
  <si>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</si>
  <si>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</si>
  <si>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</si>
  <si>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</si>
  <si>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</si>
  <si>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</si>
  <si>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</si>
  <si>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</si>
  <si>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</si>
  <si>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</si>
  <si>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</si>
  <si>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</si>
  <si>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</si>
  <si>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</si>
  <si>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</si>
  <si>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</si>
  <si>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</si>
  <si>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</si>
  <si>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</si>
  <si>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</si>
  <si>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</si>
  <si>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</si>
  <si>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</si>
  <si>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</si>
  <si>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</si>
  <si>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</si>
  <si>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</si>
  <si>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</si>
  <si>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</si>
  <si>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</si>
  <si>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</si>
  <si>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</si>
  <si>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</si>
  <si>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</si>
  <si>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</si>
  <si>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</si>
  <si>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</si>
  <si>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</si>
  <si>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</si>
  <si>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</si>
  <si>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</si>
  <si>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</si>
  <si>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</si>
  <si>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</si>
  <si>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</si>
  <si>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</si>
  <si>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</si>
  <si>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</si>
  <si>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</si>
  <si>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</si>
  <si>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</si>
  <si>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</si>
  <si>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</si>
  <si>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</si>
  <si>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</si>
  <si>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</si>
  <si>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</si>
  <si>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</si>
  <si>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</si>
  <si>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</si>
  <si>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</si>
  <si>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</si>
  <si>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</si>
  <si>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</si>
  <si>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</si>
  <si>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</si>
  <si>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</si>
  <si>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</si>
  <si>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</si>
  <si>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1226 W Osborn Road</t>
  </si>
  <si>
    <t>Board Room</t>
  </si>
  <si>
    <t>Phoenix</t>
  </si>
  <si>
    <t>Lisa Nye</t>
  </si>
  <si>
    <t>602-707-2002</t>
  </si>
  <si>
    <t>lnye@osbornsd.org</t>
  </si>
  <si>
    <t>Osborn School</t>
  </si>
  <si>
    <t>Maricopa</t>
  </si>
  <si>
    <t>070408000</t>
  </si>
  <si>
    <t>5:30pm</t>
  </si>
  <si>
    <t>November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</si>
</sst>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21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0" fillId="0" borderId="2" xfId="7" applyFont="1" applyBorder="1" applyAlignment="1" applyProtection="1">
      <alignment horizontal="center"/>
      <protection locked="0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0" fillId="0" borderId="1" xfId="7" applyFont="1" applyBorder="1" applyAlignment="1" applyProtection="1">
      <alignment horizontal="center"/>
      <protection locked="0"/>
    </xf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0" fontId="0" fillId="0" borderId="2" xfId="7" applyFont="1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0" fillId="0" borderId="2" xfId="7" applyNumberFormat="1" applyFon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0" borderId="26" xfId="9" applyNumberFormat="1" applyFont="1" applyFill="1" applyBorder="1"/>
    <xf numFmtId="0" fontId="10" fillId="0" borderId="13" xfId="7" applyFont="1" applyFill="1" applyBorder="1"/>
    <xf numFmtId="0" fontId="23" fillId="0" borderId="13" xfId="7" applyFill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 2" xfId="7" xr:uid="{00000000-0005-0000-0000-000006000000}"/>
    <cellStyle name="Normal_98-99Smry" xfId="8" xr:uid="{00000000-0005-0000-0000-000007000000}"/>
    <cellStyle name="Normal_Summary Page 1" xfId="9" xr:uid="{00000000-0005-0000-0000-000008000000}"/>
    <cellStyle name="Normal_Summary Page 2" xfId="10" xr:uid="{00000000-0005-0000-0000-000009000000}"/>
    <cellStyle name="Percent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OSBORN SCHOOL DISTRICT</v>
          </cell>
        </row>
        <row r="8">
          <cell r="C8" t="str">
            <v>Revised #1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61375</v>
          </cell>
        </row>
        <row r="11">
          <cell r="I11">
            <v>60193</v>
          </cell>
        </row>
        <row r="12">
          <cell r="B12">
            <v>2271.5783999999999</v>
          </cell>
          <cell r="C12">
            <v>2185.4319999999998</v>
          </cell>
          <cell r="D12">
            <v>2236.5043999999998</v>
          </cell>
          <cell r="I12">
            <v>1182</v>
          </cell>
        </row>
        <row r="13">
          <cell r="I13">
            <v>0.02</v>
          </cell>
        </row>
        <row r="15">
          <cell r="E15" t="str">
            <v xml:space="preserve">Comments on average salary calculation (Optional): All returning staff in the District (classified, certified and administrative) received a 2% increase for the 24/25sy. </v>
          </cell>
        </row>
        <row r="16">
          <cell r="C16">
            <v>1.7962</v>
          </cell>
          <cell r="D16">
            <v>1.6480999999999999</v>
          </cell>
        </row>
        <row r="19">
          <cell r="C19">
            <v>1.9393</v>
          </cell>
          <cell r="D19">
            <v>2.2355999999999998</v>
          </cell>
        </row>
        <row r="22">
          <cell r="C22">
            <v>23615710</v>
          </cell>
          <cell r="D22">
            <v>23615710</v>
          </cell>
        </row>
        <row r="23">
          <cell r="C23">
            <v>5002721</v>
          </cell>
          <cell r="D23">
            <v>5002721</v>
          </cell>
        </row>
        <row r="24">
          <cell r="C24">
            <v>6315445</v>
          </cell>
          <cell r="D24">
            <v>6315445</v>
          </cell>
        </row>
        <row r="33">
          <cell r="C33">
            <v>9532591</v>
          </cell>
          <cell r="D33">
            <v>9768041</v>
          </cell>
          <cell r="E33">
            <v>262144</v>
          </cell>
          <cell r="F33">
            <v>262144</v>
          </cell>
        </row>
        <row r="35">
          <cell r="C35">
            <v>479300</v>
          </cell>
          <cell r="D35">
            <v>470526</v>
          </cell>
          <cell r="E35">
            <v>15000</v>
          </cell>
          <cell r="F35">
            <v>36569</v>
          </cell>
        </row>
        <row r="36">
          <cell r="C36">
            <v>589402</v>
          </cell>
          <cell r="D36">
            <v>604812</v>
          </cell>
          <cell r="E36">
            <v>23500</v>
          </cell>
          <cell r="F36">
            <v>23500</v>
          </cell>
        </row>
        <row r="37">
          <cell r="C37">
            <v>2080713</v>
          </cell>
          <cell r="D37">
            <v>2131647</v>
          </cell>
          <cell r="E37">
            <v>303500</v>
          </cell>
          <cell r="F37">
            <v>306000</v>
          </cell>
        </row>
        <row r="38">
          <cell r="C38">
            <v>1100426</v>
          </cell>
          <cell r="D38">
            <v>1126443</v>
          </cell>
          <cell r="E38">
            <v>1395000</v>
          </cell>
          <cell r="F38">
            <v>1470000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75000</v>
          </cell>
          <cell r="F40">
            <v>75000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15500</v>
          </cell>
          <cell r="D42">
            <v>15500</v>
          </cell>
          <cell r="E42">
            <v>6100</v>
          </cell>
          <cell r="F42">
            <v>6100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3768589</v>
          </cell>
          <cell r="D46">
            <v>3843961</v>
          </cell>
          <cell r="E46">
            <v>269433</v>
          </cell>
          <cell r="F46">
            <v>269433</v>
          </cell>
        </row>
        <row r="48">
          <cell r="C48">
            <v>1230635</v>
          </cell>
          <cell r="D48">
            <v>1122647</v>
          </cell>
          <cell r="E48">
            <v>209492</v>
          </cell>
          <cell r="F48">
            <v>328194</v>
          </cell>
        </row>
        <row r="49">
          <cell r="C49">
            <v>246348</v>
          </cell>
          <cell r="D49">
            <v>251275</v>
          </cell>
          <cell r="E49">
            <v>7000</v>
          </cell>
          <cell r="F49">
            <v>7000</v>
          </cell>
        </row>
        <row r="50">
          <cell r="C50">
            <v>0</v>
          </cell>
          <cell r="D50">
            <v>0</v>
          </cell>
          <cell r="E50">
            <v>2500</v>
          </cell>
          <cell r="F50">
            <v>2500</v>
          </cell>
        </row>
        <row r="51">
          <cell r="C51">
            <v>0</v>
          </cell>
          <cell r="D51">
            <v>0</v>
          </cell>
          <cell r="E51">
            <v>500</v>
          </cell>
          <cell r="F51">
            <v>500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1159412</v>
          </cell>
          <cell r="D55">
            <v>1188251</v>
          </cell>
          <cell r="E55">
            <v>110000</v>
          </cell>
          <cell r="F55">
            <v>110000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F59">
            <v>0</v>
          </cell>
        </row>
        <row r="60">
          <cell r="C60">
            <v>197904</v>
          </cell>
          <cell r="D60">
            <v>195667</v>
          </cell>
          <cell r="E60">
            <v>0</v>
          </cell>
          <cell r="F60">
            <v>0</v>
          </cell>
        </row>
      </sheetData>
      <sheetData sheetId="12">
        <row r="6">
          <cell r="C6">
            <v>23079989</v>
          </cell>
          <cell r="D6">
            <v>23615710</v>
          </cell>
        </row>
        <row r="7">
          <cell r="C7">
            <v>130000</v>
          </cell>
          <cell r="D7">
            <v>170000</v>
          </cell>
        </row>
        <row r="8">
          <cell r="C8">
            <v>0</v>
          </cell>
          <cell r="D8">
            <v>45000</v>
          </cell>
        </row>
        <row r="9">
          <cell r="C9">
            <v>0</v>
          </cell>
          <cell r="D9">
            <v>0</v>
          </cell>
        </row>
        <row r="10">
          <cell r="C10">
            <v>4677531</v>
          </cell>
          <cell r="D10">
            <v>5002721</v>
          </cell>
        </row>
        <row r="11">
          <cell r="C11">
            <v>10642000</v>
          </cell>
          <cell r="D11">
            <v>6302000</v>
          </cell>
        </row>
        <row r="12">
          <cell r="C12">
            <v>2600000</v>
          </cell>
          <cell r="D12">
            <v>2500000</v>
          </cell>
        </row>
        <row r="13">
          <cell r="C13">
            <v>5521755</v>
          </cell>
          <cell r="D13">
            <v>6315445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6952950</v>
          </cell>
          <cell r="D16">
            <v>7822813</v>
          </cell>
        </row>
        <row r="17">
          <cell r="C17">
            <v>575000</v>
          </cell>
          <cell r="D17">
            <v>575000</v>
          </cell>
        </row>
        <row r="18">
          <cell r="C18">
            <v>30000</v>
          </cell>
          <cell r="D18">
            <v>30000</v>
          </cell>
        </row>
        <row r="19">
          <cell r="C19">
            <v>1500000</v>
          </cell>
          <cell r="D19">
            <v>30000000</v>
          </cell>
        </row>
        <row r="20">
          <cell r="C20">
            <v>2750000</v>
          </cell>
          <cell r="D20">
            <v>2750000</v>
          </cell>
        </row>
        <row r="21">
          <cell r="C21">
            <v>4121000</v>
          </cell>
          <cell r="D21">
            <v>4650500</v>
          </cell>
        </row>
        <row r="25">
          <cell r="D25">
            <v>5321503</v>
          </cell>
          <cell r="E25">
            <v>5325510</v>
          </cell>
        </row>
        <row r="26">
          <cell r="D26">
            <v>412994</v>
          </cell>
          <cell r="E26">
            <v>500000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5734497</v>
          </cell>
          <cell r="E33">
            <v>5825510</v>
          </cell>
        </row>
        <row r="38">
          <cell r="D38"/>
          <cell r="E38">
            <v>13</v>
          </cell>
          <cell r="F38">
            <v>13</v>
          </cell>
          <cell r="H38">
            <v>172</v>
          </cell>
        </row>
        <row r="39">
          <cell r="D39">
            <v>2</v>
          </cell>
          <cell r="E39">
            <v>170</v>
          </cell>
          <cell r="F39">
            <v>172</v>
          </cell>
          <cell r="H39">
            <v>13</v>
          </cell>
        </row>
        <row r="40">
          <cell r="D40"/>
          <cell r="E40">
            <v>19</v>
          </cell>
          <cell r="F40">
            <v>19</v>
          </cell>
          <cell r="H40">
            <v>117.7</v>
          </cell>
        </row>
        <row r="41">
          <cell r="D41">
            <v>2</v>
          </cell>
          <cell r="E41">
            <v>202</v>
          </cell>
          <cell r="F41">
            <v>204</v>
          </cell>
          <cell r="H41">
            <v>11</v>
          </cell>
        </row>
        <row r="43">
          <cell r="D43"/>
          <cell r="E43">
            <v>8</v>
          </cell>
          <cell r="F43">
            <v>8</v>
          </cell>
          <cell r="H43">
            <v>279.60000000000002</v>
          </cell>
        </row>
        <row r="44">
          <cell r="D44"/>
          <cell r="E44">
            <v>40</v>
          </cell>
          <cell r="F44">
            <v>40</v>
          </cell>
          <cell r="H44">
            <v>55.9</v>
          </cell>
        </row>
        <row r="45">
          <cell r="D45"/>
          <cell r="E45">
            <v>110</v>
          </cell>
          <cell r="F45">
            <v>110</v>
          </cell>
          <cell r="H45">
            <v>20.3</v>
          </cell>
        </row>
        <row r="46">
          <cell r="D46">
            <v>0</v>
          </cell>
          <cell r="E46">
            <v>158</v>
          </cell>
          <cell r="F46">
            <v>158</v>
          </cell>
          <cell r="H46">
            <v>14.2</v>
          </cell>
        </row>
        <row r="47">
          <cell r="D47">
            <v>2</v>
          </cell>
          <cell r="E47">
            <v>360</v>
          </cell>
          <cell r="F47">
            <v>362</v>
          </cell>
          <cell r="H47">
            <v>6.2</v>
          </cell>
        </row>
        <row r="50">
          <cell r="D50">
            <v>2</v>
          </cell>
          <cell r="E50">
            <v>18</v>
          </cell>
          <cell r="F50">
            <v>20</v>
          </cell>
          <cell r="H50">
            <v>12</v>
          </cell>
        </row>
        <row r="51">
          <cell r="D51"/>
          <cell r="E51">
            <v>28</v>
          </cell>
          <cell r="F51">
            <v>28</v>
          </cell>
          <cell r="H51">
            <v>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showGridLines="0" tabSelected="1" zoomScale="160" zoomScaleNormal="160" workbookViewId="0">
      <selection activeCell="E58" sqref="E58"/>
    </sheetView>
  </sheetViews>
  <sheetFormatPr defaultColWidth="9.42578125" defaultRowHeight="12.75"/>
  <cols>
    <col min="1" max="1" width="20.42578125" style="6" customWidth="1"/>
    <col min="2" max="2" width="6.42578125" style="6" customWidth="1"/>
    <col min="3" max="3" width="10.5703125" style="6" customWidth="1"/>
    <col min="4" max="5" width="11" style="6" customWidth="1"/>
    <col min="6" max="7" width="5.5703125" style="6" customWidth="1"/>
    <col min="8" max="8" width="10.5703125" style="6" customWidth="1"/>
    <col min="9" max="9" width="11" style="6" customWidth="1"/>
    <col min="10" max="10" width="12.5703125" style="6" customWidth="1"/>
    <col min="11" max="12" width="5.570312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2" width="9.42578125" style="6" customWidth="1"/>
    <col min="23" max="16384" width="9.42578125" style="6"/>
  </cols>
  <sheetData>
    <row r="1" spans="1:24" ht="12.75" customHeight="1">
      <c r="A1"/>
      <c r="B1" s="4" t="s">
        <v>17</v>
      </c>
      <c r="C1" s="5" t="str">
        <f>[1]Cover!$C$1</f>
        <v>OSBORN SCHOOL DISTRICT</v>
      </c>
      <c r="D1" s="5"/>
      <c r="F1"/>
      <c r="G1"/>
      <c r="H1"/>
      <c r="I1" s="4" t="s">
        <v>16</v>
      </c>
      <c r="J1" s="7" t="s">
        <v>149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2" t="str">
        <f>IF(ISNUMBER(SEARCH("Revised*",K22)),M1,M2)</f>
        <v>This is a notification that the above mentioned School District will be having a public hearing and board meeting to revise its Fiscal Year 2025 Expenditure Budget, as required by A.R.S. §15-905(E)(1).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5">
        <v>45615</v>
      </c>
      <c r="D5" s="215"/>
      <c r="E5"/>
      <c r="F5"/>
      <c r="G5"/>
      <c r="H5" s="4" t="s">
        <v>3</v>
      </c>
      <c r="I5" s="216" t="s">
        <v>150</v>
      </c>
      <c r="J5" s="217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8" t="s">
        <v>15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14" t="s">
        <v>141</v>
      </c>
      <c r="D8" s="211"/>
      <c r="E8" s="211"/>
      <c r="F8" s="211"/>
      <c r="G8" s="211"/>
      <c r="H8" s="211"/>
      <c r="I8" s="21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11"/>
      <c r="D9" s="211"/>
      <c r="E9" s="4" t="s">
        <v>7</v>
      </c>
      <c r="F9" s="187" t="s">
        <v>142</v>
      </c>
      <c r="G9" s="188"/>
      <c r="H9" s="188"/>
      <c r="I9" s="188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12" t="s">
        <v>143</v>
      </c>
      <c r="D10" s="213"/>
      <c r="E10" s="4" t="s">
        <v>8</v>
      </c>
      <c r="F10" s="16" t="s">
        <v>0</v>
      </c>
      <c r="G10" s="13"/>
      <c r="H10" s="4" t="s">
        <v>9</v>
      </c>
      <c r="I10" s="1">
        <v>85013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187" t="s">
        <v>144</v>
      </c>
      <c r="D13" s="188"/>
      <c r="H13" s="4" t="s">
        <v>12</v>
      </c>
      <c r="I13" s="187" t="s">
        <v>145</v>
      </c>
      <c r="J13" s="188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200" t="s">
        <v>146</v>
      </c>
      <c r="D14" s="201"/>
      <c r="E14"/>
      <c r="F14"/>
      <c r="G14"/>
      <c r="H14" s="4" t="s">
        <v>13</v>
      </c>
      <c r="I14" s="201"/>
      <c r="J14" s="201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5" t="s">
        <v>18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6" t="s">
        <v>14</v>
      </c>
      <c r="B18" s="206"/>
      <c r="C18" s="206"/>
      <c r="D18" s="206"/>
      <c r="E18" s="206"/>
      <c r="F18" s="206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7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10" t="str">
        <f>IF(ISNUMBER(SEARCH("Revised*",K22)),M27,M26)</f>
        <v xml:space="preserve"> SUMMARY OF SCHOOL DISTRICT REVISED EXPENDITURE BUDGET</v>
      </c>
      <c r="B21" s="210"/>
      <c r="C21" s="210"/>
      <c r="D21" s="210"/>
      <c r="E21" s="210"/>
      <c r="F21" s="210"/>
      <c r="G21" s="210"/>
      <c r="H21" s="210"/>
      <c r="I21"/>
      <c r="J21" s="20" t="s">
        <v>19</v>
      </c>
      <c r="K21" s="191" t="str">
        <f>J1</f>
        <v>070408000</v>
      </c>
      <c r="L21" s="191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192" t="str">
        <f>[1]Cover!$C$8</f>
        <v>Revised #1</v>
      </c>
      <c r="L22" s="192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189" t="s">
        <v>147</v>
      </c>
      <c r="C23" s="189"/>
      <c r="D23" s="189"/>
      <c r="E23" s="25" t="s">
        <v>22</v>
      </c>
      <c r="F23" s="219" t="s">
        <v>148</v>
      </c>
      <c r="G23" s="219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revised by the Governing Board on</v>
      </c>
      <c r="B24" s="27"/>
      <c r="C24" s="2" t="s">
        <v>151</v>
      </c>
      <c r="D24" s="27" t="str">
        <f>IF(ISNUMBER(SEARCH("Revised*",K22)),M23,M24)</f>
        <v>, 2024, and that the complete Revised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144</v>
      </c>
      <c r="B25" s="190" t="s">
        <v>114</v>
      </c>
      <c r="C25" s="190"/>
      <c r="D25" s="190"/>
      <c r="E25" s="284" t="s">
        <v>145</v>
      </c>
      <c r="F25" s="284"/>
      <c r="G25" s="284"/>
      <c r="H25" s="203" t="s">
        <v>24</v>
      </c>
      <c r="I25" s="203"/>
      <c r="J25" s="203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4"/>
      <c r="F26" s="204"/>
      <c r="G26" s="204"/>
      <c r="H26" s="204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3" t="s">
        <v>25</v>
      </c>
      <c r="F27" s="193"/>
      <c r="G27" s="193"/>
      <c r="H27" s="193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194">
        <f>[1]!BudgetYearSalarySumm</f>
        <v>61375</v>
      </c>
      <c r="L30" s="195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196">
        <f>[1]!PriorYearSalarySumm</f>
        <v>60193</v>
      </c>
      <c r="L31" s="197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2271.5783999999999</v>
      </c>
      <c r="D32" s="49">
        <f>[1]!PriorYearADM</f>
        <v>2185.4319999999998</v>
      </c>
      <c r="E32" s="50">
        <f>[1]!BudgetYearADM</f>
        <v>2236.5043999999998</v>
      </c>
      <c r="F32" s="51" t="s">
        <v>103</v>
      </c>
      <c r="G32" s="42"/>
      <c r="H32" s="43"/>
      <c r="I32" s="44"/>
      <c r="K32" s="198">
        <f>[1]!SalaryIncreaseSumm</f>
        <v>1182</v>
      </c>
      <c r="L32" s="199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82">
        <f>[1]!PercentageIncreaseSumm</f>
        <v>0.02</v>
      </c>
      <c r="L33" s="283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9" t="s">
        <v>106</v>
      </c>
      <c r="B34" s="250"/>
      <c r="C34" s="251"/>
      <c r="D34" s="232">
        <f>[1]!PrimTaxRatePYSumm</f>
        <v>1.7962</v>
      </c>
      <c r="E34" s="252">
        <f>[1]!EstTaxRateBudgFYSumm</f>
        <v>1.6480999999999999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9"/>
      <c r="B35" s="250"/>
      <c r="C35" s="251"/>
      <c r="D35" s="233"/>
      <c r="E35" s="253"/>
      <c r="F35" s="264" t="str">
        <f>IF([1]!SalaryCommentsSumm="","",[1]!SalaryCommentsSumm)</f>
        <v xml:space="preserve">Comments on average salary calculation (Optional): All returning staff in the District (classified, certified and administrative) received a 2% increase for the 24/25sy. </v>
      </c>
      <c r="G35" s="265"/>
      <c r="H35" s="265"/>
      <c r="I35" s="265"/>
      <c r="J35" s="265"/>
      <c r="K35" s="265"/>
      <c r="L35" s="266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9"/>
      <c r="B36" s="250"/>
      <c r="C36" s="251"/>
      <c r="D36" s="234"/>
      <c r="E36" s="254"/>
      <c r="F36" s="267"/>
      <c r="G36" s="268"/>
      <c r="H36" s="268"/>
      <c r="I36" s="268"/>
      <c r="J36" s="268"/>
      <c r="K36" s="268"/>
      <c r="L36" s="269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8" t="s">
        <v>115</v>
      </c>
      <c r="B37" s="259"/>
      <c r="C37" s="260"/>
      <c r="D37" s="255">
        <f>[1]!SecTaxRatePYSumm</f>
        <v>1.9393</v>
      </c>
      <c r="E37" s="256">
        <f>[1]!SecTaxRateBudgFYSumm</f>
        <v>2.2355999999999998</v>
      </c>
      <c r="F37" s="267"/>
      <c r="G37" s="268"/>
      <c r="H37" s="268"/>
      <c r="I37" s="268"/>
      <c r="J37" s="268"/>
      <c r="K37" s="268"/>
      <c r="L37" s="269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8"/>
      <c r="B38" s="259"/>
      <c r="C38" s="260"/>
      <c r="D38" s="233"/>
      <c r="E38" s="253"/>
      <c r="F38" s="267"/>
      <c r="G38" s="268"/>
      <c r="H38" s="268"/>
      <c r="I38" s="268"/>
      <c r="J38" s="268"/>
      <c r="K38" s="268"/>
      <c r="L38" s="269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61"/>
      <c r="B39" s="262"/>
      <c r="C39" s="263"/>
      <c r="D39" s="234"/>
      <c r="E39" s="257"/>
      <c r="F39" s="267"/>
      <c r="G39" s="268"/>
      <c r="H39" s="268"/>
      <c r="I39" s="268"/>
      <c r="J39" s="268"/>
      <c r="K39" s="268"/>
      <c r="L39" s="269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67"/>
      <c r="G40" s="268"/>
      <c r="H40" s="268"/>
      <c r="I40" s="268"/>
      <c r="J40" s="268"/>
      <c r="K40" s="268"/>
      <c r="L40" s="269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67"/>
      <c r="G41" s="268"/>
      <c r="H41" s="268"/>
      <c r="I41" s="268"/>
      <c r="J41" s="268"/>
      <c r="K41" s="268"/>
      <c r="L41" s="269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23615710</v>
      </c>
      <c r="E42" s="73">
        <f>[1]!GBLBudgFYSumm</f>
        <v>23615710</v>
      </c>
      <c r="F42" s="267"/>
      <c r="G42" s="268"/>
      <c r="H42" s="268"/>
      <c r="I42" s="268"/>
      <c r="J42" s="268"/>
      <c r="K42" s="268"/>
      <c r="L42" s="269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5002721</v>
      </c>
      <c r="E43" s="75">
        <f>[1]!CSFBLBudgFYSumm</f>
        <v>5002721</v>
      </c>
      <c r="F43" s="267"/>
      <c r="G43" s="268"/>
      <c r="H43" s="268"/>
      <c r="I43" s="268"/>
      <c r="J43" s="268"/>
      <c r="K43" s="268"/>
      <c r="L43" s="269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6315445</v>
      </c>
      <c r="E44" s="80">
        <f>[1]!UCBLBudgFYSumm</f>
        <v>6315445</v>
      </c>
      <c r="F44" s="270"/>
      <c r="G44" s="271"/>
      <c r="H44" s="271"/>
      <c r="I44" s="271"/>
      <c r="J44" s="271"/>
      <c r="K44" s="271"/>
      <c r="L44" s="272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43"/>
      <c r="E45" s="243"/>
      <c r="F45" s="243"/>
      <c r="G45" s="243"/>
      <c r="H45" s="243"/>
      <c r="I45" s="243"/>
      <c r="J45" s="243"/>
      <c r="K45" s="243"/>
      <c r="L45" s="244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45"/>
      <c r="E46" s="245"/>
      <c r="F46" s="245"/>
      <c r="G46" s="245"/>
      <c r="H46" s="245"/>
      <c r="I46" s="245"/>
      <c r="J46" s="245"/>
      <c r="K46" s="245"/>
      <c r="L46" s="246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9" t="s">
        <v>34</v>
      </c>
      <c r="L48" s="286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87" t="s">
        <v>38</v>
      </c>
      <c r="L49" s="288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9" t="s">
        <v>39</v>
      </c>
      <c r="G50" s="240"/>
      <c r="H50" s="99" t="s">
        <v>31</v>
      </c>
      <c r="I50" s="99" t="s">
        <v>39</v>
      </c>
      <c r="J50" s="99" t="s">
        <v>31</v>
      </c>
      <c r="K50" s="287" t="s">
        <v>39</v>
      </c>
      <c r="L50" s="288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93"/>
      <c r="G51" s="294"/>
      <c r="H51" s="100"/>
      <c r="I51" s="100"/>
      <c r="J51" s="100"/>
      <c r="K51" s="289"/>
      <c r="L51" s="290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20">
        <f>'[1]Summary Page 1'!$C$33</f>
        <v>9532591</v>
      </c>
      <c r="E52" s="220">
        <f>[1]!F001P100F1000SBBudgFY</f>
        <v>9768041</v>
      </c>
      <c r="F52" s="228">
        <f>'[1]Summary Page 1'!$E$33</f>
        <v>262144</v>
      </c>
      <c r="G52" s="229"/>
      <c r="H52" s="220">
        <f>[1]!F001P100F1000OthBudgFY</f>
        <v>262144</v>
      </c>
      <c r="I52" s="224">
        <f>D52+F52</f>
        <v>9794735</v>
      </c>
      <c r="J52" s="220">
        <f>E52+H52</f>
        <v>10030185</v>
      </c>
      <c r="K52" s="275">
        <f>IF(I52=J52,0,IF(I52&gt;0,(J52-I52)/I52,"--"))</f>
        <v>2.4038424725120178E-2</v>
      </c>
      <c r="L52" s="291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21"/>
      <c r="E53" s="221"/>
      <c r="F53" s="230"/>
      <c r="G53" s="231"/>
      <c r="H53" s="223"/>
      <c r="I53" s="225"/>
      <c r="J53" s="223"/>
      <c r="K53" s="277"/>
      <c r="L53" s="292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20">
        <f>'[1]Summary Page 1'!$C$35</f>
        <v>479300</v>
      </c>
      <c r="E54" s="220">
        <f>[1]!F001P100F2100SBBudgFY</f>
        <v>470526</v>
      </c>
      <c r="F54" s="228">
        <f>'[1]Summary Page 1'!$E$35</f>
        <v>15000</v>
      </c>
      <c r="G54" s="229"/>
      <c r="H54" s="220">
        <f>[1]!F001P100F2100OthBudgFY</f>
        <v>36569</v>
      </c>
      <c r="I54" s="224">
        <f>D54+F54</f>
        <v>494300</v>
      </c>
      <c r="J54" s="220">
        <f>E54+H54</f>
        <v>507095</v>
      </c>
      <c r="K54" s="275">
        <f>IF(I54=J54,0,IF(I54&gt;0,(J54-I54)/I54,"--"))</f>
        <v>2.5885090026299819E-2</v>
      </c>
      <c r="L54" s="291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21"/>
      <c r="E55" s="222"/>
      <c r="F55" s="230"/>
      <c r="G55" s="231"/>
      <c r="H55" s="223"/>
      <c r="I55" s="225"/>
      <c r="J55" s="223"/>
      <c r="K55" s="277"/>
      <c r="L55" s="292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13">
        <f>'[1]Summary Page 1'!$C$36</f>
        <v>589402</v>
      </c>
      <c r="E56" s="111">
        <f>[1]!F001P100F2200SBBudgFY</f>
        <v>604812</v>
      </c>
      <c r="F56" s="226">
        <f>'[1]Summary Page 1'!$E$36</f>
        <v>23500</v>
      </c>
      <c r="G56" s="227"/>
      <c r="H56" s="108">
        <f>[1]!F001P100F2200OthBudgFY</f>
        <v>23500</v>
      </c>
      <c r="I56" s="107">
        <f t="shared" ref="I56:I63" si="0">D56+F56</f>
        <v>612902</v>
      </c>
      <c r="J56" s="108">
        <f t="shared" ref="J56:J63" si="1">E56+H56</f>
        <v>628312</v>
      </c>
      <c r="K56" s="273">
        <f t="shared" ref="K56:K65" si="2">IF(I56=J56,0,IF(I56&gt;0,(J56-I56)/I56,"--"))</f>
        <v>2.5142681864311098E-2</v>
      </c>
      <c r="L56" s="285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13">
        <f>'[1]Summary Page 1'!$C$37</f>
        <v>2080713</v>
      </c>
      <c r="E57" s="111">
        <f>[1]!F001P100F230024002500SBBudgFY</f>
        <v>2131647</v>
      </c>
      <c r="F57" s="226">
        <f>'[1]Summary Page 1'!$E$37</f>
        <v>303500</v>
      </c>
      <c r="G57" s="227"/>
      <c r="H57" s="108">
        <f>[1]!F001P100F230024002500OthBudgFY</f>
        <v>306000</v>
      </c>
      <c r="I57" s="107">
        <f t="shared" si="0"/>
        <v>2384213</v>
      </c>
      <c r="J57" s="108">
        <f t="shared" si="1"/>
        <v>2437647</v>
      </c>
      <c r="K57" s="273">
        <f t="shared" si="2"/>
        <v>2.2411588226387492E-2</v>
      </c>
      <c r="L57" s="285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13">
        <f>'[1]Summary Page 1'!$C$38</f>
        <v>1100426</v>
      </c>
      <c r="E58" s="111">
        <f>[1]!F001P100F2600SBBudgFY</f>
        <v>1126443</v>
      </c>
      <c r="F58" s="226">
        <f>'[1]Summary Page 1'!$E$38</f>
        <v>1395000</v>
      </c>
      <c r="G58" s="227"/>
      <c r="H58" s="107">
        <f>[1]!F001P100F2600OthBudgFY</f>
        <v>1470000</v>
      </c>
      <c r="I58" s="107">
        <f t="shared" si="0"/>
        <v>2495426</v>
      </c>
      <c r="J58" s="108">
        <f t="shared" si="1"/>
        <v>2596443</v>
      </c>
      <c r="K58" s="273">
        <f t="shared" si="2"/>
        <v>4.0480863788387236E-2</v>
      </c>
      <c r="L58" s="285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26">
        <f>'[1]Summary Page 1'!$E$39</f>
        <v>0</v>
      </c>
      <c r="G59" s="227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73">
        <f t="shared" si="2"/>
        <v>0</v>
      </c>
      <c r="L59" s="285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13">
        <f>'[1]Summary Page 1'!$C$40</f>
        <v>0</v>
      </c>
      <c r="E60" s="111">
        <f>[1]!F001P100F3000SBBudgFY</f>
        <v>0</v>
      </c>
      <c r="F60" s="226">
        <f>'[1]Summary Page 1'!$E$40</f>
        <v>75000</v>
      </c>
      <c r="G60" s="227"/>
      <c r="H60" s="107">
        <f>[1]!F001P100F3000OthBudgFY</f>
        <v>75000</v>
      </c>
      <c r="I60" s="107">
        <f t="shared" si="0"/>
        <v>75000</v>
      </c>
      <c r="J60" s="108">
        <f t="shared" si="1"/>
        <v>75000</v>
      </c>
      <c r="K60" s="273">
        <f t="shared" si="2"/>
        <v>0</v>
      </c>
      <c r="L60" s="285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13">
        <f>'[1]Summary Page 1'!$C$41</f>
        <v>0</v>
      </c>
      <c r="E61" s="111">
        <f>[1]!F001P610SBBudgFY</f>
        <v>0</v>
      </c>
      <c r="F61" s="226">
        <f>'[1]Summary Page 1'!$E$41</f>
        <v>0</v>
      </c>
      <c r="G61" s="227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73">
        <f t="shared" si="2"/>
        <v>0</v>
      </c>
      <c r="L61" s="274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13">
        <f>'[1]Summary Page 1'!$C$42</f>
        <v>15500</v>
      </c>
      <c r="E62" s="111">
        <f>[1]!F001P620SBBudgFY</f>
        <v>15500</v>
      </c>
      <c r="F62" s="226">
        <f>'[1]Summary Page 1'!$E$42</f>
        <v>6100</v>
      </c>
      <c r="G62" s="227"/>
      <c r="H62" s="107">
        <f>[1]!F001P620OthBudgFY</f>
        <v>6100</v>
      </c>
      <c r="I62" s="107">
        <f t="shared" si="0"/>
        <v>21600</v>
      </c>
      <c r="J62" s="108">
        <f t="shared" si="1"/>
        <v>21600</v>
      </c>
      <c r="K62" s="273">
        <f t="shared" si="2"/>
        <v>0</v>
      </c>
      <c r="L62" s="274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13">
        <f>'[1]Summary Page 1'!$C$43</f>
        <v>0</v>
      </c>
      <c r="E63" s="111">
        <f>[1]!F001P630700800900SBBudgFY</f>
        <v>0</v>
      </c>
      <c r="F63" s="226">
        <f>'[1]Summary Page 1'!$E$43</f>
        <v>0</v>
      </c>
      <c r="G63" s="227"/>
      <c r="H63" s="113">
        <f>[1]!F001P630700800900OthBudgFY</f>
        <v>0</v>
      </c>
      <c r="I63" s="113">
        <f t="shared" si="0"/>
        <v>0</v>
      </c>
      <c r="J63" s="111">
        <f t="shared" si="1"/>
        <v>0</v>
      </c>
      <c r="K63" s="273">
        <f t="shared" si="2"/>
        <v>0</v>
      </c>
      <c r="L63" s="274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11">
        <f t="shared" ref="D64" si="3">SUM(D52:D63)</f>
        <v>13797932</v>
      </c>
      <c r="E64" s="111">
        <f t="shared" ref="E64:J64" si="4">SUM(E52:E63)</f>
        <v>14116969</v>
      </c>
      <c r="F64" s="226">
        <f t="shared" si="4"/>
        <v>2080244</v>
      </c>
      <c r="G64" s="227"/>
      <c r="H64" s="108">
        <f>SUM(H52:H63)</f>
        <v>2179313</v>
      </c>
      <c r="I64" s="108">
        <f t="shared" si="4"/>
        <v>15878176</v>
      </c>
      <c r="J64" s="108">
        <f t="shared" si="4"/>
        <v>16296282</v>
      </c>
      <c r="K64" s="273">
        <f t="shared" si="2"/>
        <v>2.6332117744506674E-2</v>
      </c>
      <c r="L64" s="27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20">
        <f>'[1]Summary Page 1'!$C$46</f>
        <v>3768589</v>
      </c>
      <c r="E65" s="220">
        <f>[1]!F001P200F1000SBBudgFY</f>
        <v>3843961</v>
      </c>
      <c r="F65" s="228">
        <f>'[1]Summary Page 1'!$E$46</f>
        <v>269433</v>
      </c>
      <c r="G65" s="229"/>
      <c r="H65" s="220">
        <f>[1]!F001P200F1000OthBudgFY</f>
        <v>269433</v>
      </c>
      <c r="I65" s="224">
        <f>D65+F65</f>
        <v>4038022</v>
      </c>
      <c r="J65" s="220">
        <f>E65+H65</f>
        <v>4113394</v>
      </c>
      <c r="K65" s="275">
        <f t="shared" si="2"/>
        <v>1.8665574382705195E-2</v>
      </c>
      <c r="L65" s="276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21"/>
      <c r="E66" s="222"/>
      <c r="F66" s="230"/>
      <c r="G66" s="231"/>
      <c r="H66" s="223"/>
      <c r="I66" s="225"/>
      <c r="J66" s="223"/>
      <c r="K66" s="277"/>
      <c r="L66" s="278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20">
        <f>'[1]Summary Page 1'!$C$48</f>
        <v>1230635</v>
      </c>
      <c r="E67" s="220">
        <f>[1]!F001P200F2100SBBudgFY</f>
        <v>1122647</v>
      </c>
      <c r="F67" s="228">
        <f>'[1]Summary Page 1'!$E$48</f>
        <v>209492</v>
      </c>
      <c r="G67" s="229"/>
      <c r="H67" s="220">
        <f>[1]!F001P200F2100OthBudgFY</f>
        <v>328194</v>
      </c>
      <c r="I67" s="224">
        <f>D67+F67</f>
        <v>1440127</v>
      </c>
      <c r="J67" s="220">
        <f>E67+H67</f>
        <v>1450841</v>
      </c>
      <c r="K67" s="275">
        <f>IF(I67=J67,0,IF(I67&gt;0,(J67-I67)/I67,"--"))</f>
        <v>7.4396216444799664E-3</v>
      </c>
      <c r="L67" s="276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21"/>
      <c r="E68" s="222"/>
      <c r="F68" s="230"/>
      <c r="G68" s="231"/>
      <c r="H68" s="223"/>
      <c r="I68" s="223"/>
      <c r="J68" s="223"/>
      <c r="K68" s="277"/>
      <c r="L68" s="27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13">
        <f>'[1]Summary Page 1'!$C$49</f>
        <v>246348</v>
      </c>
      <c r="E69" s="113">
        <f>[1]!F001P200F2200SBBudgFY</f>
        <v>251275</v>
      </c>
      <c r="F69" s="226">
        <f>'[1]Summary Page 1'!$E$49</f>
        <v>7000</v>
      </c>
      <c r="G69" s="227"/>
      <c r="H69" s="108">
        <f>[1]!F001P200F2200OthBudgFY</f>
        <v>7000</v>
      </c>
      <c r="I69" s="107">
        <f>D69+F69</f>
        <v>253348</v>
      </c>
      <c r="J69" s="108">
        <f>E69+H69</f>
        <v>258275</v>
      </c>
      <c r="K69" s="273">
        <f t="shared" ref="K69:K78" si="5">IF(I69=J69,0,IF(I69&gt;0,(J69-I69)/I69,"--"))</f>
        <v>1.9447558299256359E-2</v>
      </c>
      <c r="L69" s="274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13">
        <f>'[1]Summary Page 1'!$C$50</f>
        <v>0</v>
      </c>
      <c r="E70" s="113">
        <f>[1]!F001P200F230024002500SBBudgFY</f>
        <v>0</v>
      </c>
      <c r="F70" s="226">
        <f>'[1]Summary Page 1'!$E$50</f>
        <v>2500</v>
      </c>
      <c r="G70" s="227"/>
      <c r="H70" s="107">
        <f>[1]!F001P200F230024002500OthBudgFY</f>
        <v>2500</v>
      </c>
      <c r="I70" s="107">
        <f>D70+F70</f>
        <v>2500</v>
      </c>
      <c r="J70" s="108">
        <f>E70+H70</f>
        <v>2500</v>
      </c>
      <c r="K70" s="273">
        <f t="shared" si="5"/>
        <v>0</v>
      </c>
      <c r="L70" s="274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26">
        <f>'[1]Summary Page 1'!$E$51</f>
        <v>500</v>
      </c>
      <c r="G71" s="227"/>
      <c r="H71" s="107">
        <f>[1]!F001P200F2600OthBudgFY</f>
        <v>500</v>
      </c>
      <c r="I71" s="107">
        <f>D71+F71</f>
        <v>500</v>
      </c>
      <c r="J71" s="108">
        <f>E71+H71</f>
        <v>500</v>
      </c>
      <c r="K71" s="273">
        <f t="shared" si="5"/>
        <v>0</v>
      </c>
      <c r="L71" s="274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26">
        <f>'[1]Summary Page 1'!$E$52</f>
        <v>0</v>
      </c>
      <c r="G72" s="227"/>
      <c r="H72" s="107">
        <f>[1]!F001P200F2900OthBudgFY</f>
        <v>0</v>
      </c>
      <c r="I72" s="107">
        <f>D72+F72</f>
        <v>0</v>
      </c>
      <c r="J72" s="108">
        <f>E72+H72</f>
        <v>0</v>
      </c>
      <c r="K72" s="273">
        <f t="shared" si="5"/>
        <v>0</v>
      </c>
      <c r="L72" s="274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26">
        <f>'[1]Summary Page 1'!$E$53</f>
        <v>0</v>
      </c>
      <c r="G73" s="227"/>
      <c r="H73" s="107">
        <f>[1]!F001P200F3000OthBudgFY</f>
        <v>0</v>
      </c>
      <c r="I73" s="107">
        <f>D73+F73</f>
        <v>0</v>
      </c>
      <c r="J73" s="108">
        <f>E73+H73</f>
        <v>0</v>
      </c>
      <c r="K73" s="273">
        <f t="shared" si="5"/>
        <v>0</v>
      </c>
      <c r="L73" s="274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20">
        <f t="shared" ref="D74" si="6">SUM(D65:D73)</f>
        <v>5245572</v>
      </c>
      <c r="E74" s="120">
        <f t="shared" ref="E74:J74" si="7">SUM(E65:E73)</f>
        <v>5217883</v>
      </c>
      <c r="F74" s="295">
        <f t="shared" si="7"/>
        <v>488925</v>
      </c>
      <c r="G74" s="296"/>
      <c r="H74" s="116">
        <f t="shared" si="7"/>
        <v>607627</v>
      </c>
      <c r="I74" s="107">
        <f t="shared" si="7"/>
        <v>5734497</v>
      </c>
      <c r="J74" s="107">
        <f t="shared" si="7"/>
        <v>5825510</v>
      </c>
      <c r="K74" s="273">
        <f t="shared" si="5"/>
        <v>1.5871139177507636E-2</v>
      </c>
      <c r="L74" s="2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13">
        <f>'[1]Summary Page 1'!$C$55</f>
        <v>1159412</v>
      </c>
      <c r="E75" s="120">
        <f>[1]!F001P400SBBudgFY</f>
        <v>1188251</v>
      </c>
      <c r="F75" s="226">
        <f>'[1]Summary Page 1'!$E$55</f>
        <v>110000</v>
      </c>
      <c r="G75" s="227"/>
      <c r="H75" s="116">
        <f>[1]!F001P400OthBudgFy</f>
        <v>110000</v>
      </c>
      <c r="I75" s="107">
        <f>D75+F75</f>
        <v>1269412</v>
      </c>
      <c r="J75" s="108">
        <f>E75+H75</f>
        <v>1298251</v>
      </c>
      <c r="K75" s="273">
        <f t="shared" si="5"/>
        <v>2.2718392452568591E-2</v>
      </c>
      <c r="L75" s="274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26">
        <f>'[1]Summary Page 1'!$E$56</f>
        <v>0</v>
      </c>
      <c r="G76" s="227"/>
      <c r="H76" s="120">
        <f>[1]!F001P510OthBudgFY</f>
        <v>0</v>
      </c>
      <c r="I76" s="113">
        <f>D76+F76</f>
        <v>0</v>
      </c>
      <c r="J76" s="111">
        <f>E76+H76</f>
        <v>0</v>
      </c>
      <c r="K76" s="298">
        <f t="shared" si="5"/>
        <v>0</v>
      </c>
      <c r="L76" s="299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13">
        <f>'[1]Summary Page 1'!$C$57</f>
        <v>0</v>
      </c>
      <c r="E77" s="120">
        <f>[1]!F001P530SBBudgFY</f>
        <v>0</v>
      </c>
      <c r="F77" s="226">
        <f>'[1]Summary Page 1'!$E$57</f>
        <v>0</v>
      </c>
      <c r="G77" s="227"/>
      <c r="H77" s="116">
        <f>[1]!F001P530OthBudgFY</f>
        <v>0</v>
      </c>
      <c r="I77" s="107">
        <f>D77+F77</f>
        <v>0</v>
      </c>
      <c r="J77" s="108">
        <f>E77+H77</f>
        <v>0</v>
      </c>
      <c r="K77" s="273">
        <f t="shared" si="5"/>
        <v>0</v>
      </c>
      <c r="L77" s="274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20">
        <f>'[1]Summary Page 1'!$C$59</f>
        <v>0</v>
      </c>
      <c r="E78" s="247">
        <f>[1]!F001P540SBBudgFY</f>
        <v>0</v>
      </c>
      <c r="F78" s="228">
        <f>'[1]Summary Page 1'!$E$559</f>
        <v>0</v>
      </c>
      <c r="G78" s="229"/>
      <c r="H78" s="247">
        <f>[1]!F001P540OthBudgFY</f>
        <v>0</v>
      </c>
      <c r="I78" s="224">
        <f>D78+F78</f>
        <v>0</v>
      </c>
      <c r="J78" s="224">
        <f>E78+H78</f>
        <v>0</v>
      </c>
      <c r="K78" s="275">
        <f t="shared" si="5"/>
        <v>0</v>
      </c>
      <c r="L78" s="276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79"/>
      <c r="E79" s="248"/>
      <c r="F79" s="230"/>
      <c r="G79" s="231"/>
      <c r="H79" s="248"/>
      <c r="I79" s="235"/>
      <c r="J79" s="235"/>
      <c r="K79" s="277"/>
      <c r="L79" s="278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197904</v>
      </c>
      <c r="E80" s="122">
        <f>[1]!F001P550SBBudgFY</f>
        <v>195667</v>
      </c>
      <c r="F80" s="303">
        <f>'[1]Summary Page 1'!$E$60</f>
        <v>0</v>
      </c>
      <c r="G80" s="304"/>
      <c r="H80" s="122">
        <f>[1]!F001P550OthBudgFY</f>
        <v>0</v>
      </c>
      <c r="I80" s="107">
        <f>D80+F80</f>
        <v>197904</v>
      </c>
      <c r="J80" s="111">
        <f>E80+H80</f>
        <v>195667</v>
      </c>
      <c r="K80" s="298">
        <f>IF(I80=J80,0,IF(I80&gt;0,(J80-I80)/I80,"--"))</f>
        <v>-1.1303460263562132E-2</v>
      </c>
      <c r="L80" s="299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20400820</v>
      </c>
      <c r="E81" s="125">
        <f t="shared" ref="E81:J81" si="9">SUM(E74:E80)+E64</f>
        <v>20718770</v>
      </c>
      <c r="F81" s="305">
        <f t="shared" si="9"/>
        <v>2679169</v>
      </c>
      <c r="G81" s="306"/>
      <c r="H81" s="125">
        <f t="shared" si="9"/>
        <v>2896940</v>
      </c>
      <c r="I81" s="125">
        <f t="shared" si="9"/>
        <v>23079989</v>
      </c>
      <c r="J81" s="125">
        <f t="shared" si="9"/>
        <v>23615710</v>
      </c>
      <c r="K81" s="300">
        <f>IF(I81=J81,0,IF(I81&gt;0,(J81-I81)/I81,"--"))</f>
        <v>2.3211492865096252E-2</v>
      </c>
      <c r="L81" s="30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6" t="s">
        <v>62</v>
      </c>
      <c r="B84" s="237"/>
      <c r="C84" s="237"/>
      <c r="D84" s="237"/>
      <c r="E84" s="237"/>
      <c r="F84" s="237"/>
      <c r="G84" s="238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9" t="s">
        <v>64</v>
      </c>
      <c r="G85" s="240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87" t="s">
        <v>66</v>
      </c>
      <c r="G86" s="297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87" t="s">
        <v>38</v>
      </c>
      <c r="G87" s="297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89" t="s">
        <v>39</v>
      </c>
      <c r="G88" s="302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23079989</v>
      </c>
      <c r="D89" s="136">
        <f>[1]!SummMOBY</f>
        <v>23615710</v>
      </c>
      <c r="E89" s="134">
        <f t="shared" ref="E89:E104" si="10">D89-C89</f>
        <v>535721</v>
      </c>
      <c r="F89" s="241">
        <f t="shared" ref="F89:F104" si="11">IF(C89=D89,0,IF(C89&gt;0,E89/C89,"--"))</f>
        <v>2.3211492865096252E-2</v>
      </c>
      <c r="G89" s="242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130000</v>
      </c>
      <c r="D90" s="139">
        <f>[1]!SummInstImprovBY</f>
        <v>170000</v>
      </c>
      <c r="E90" s="134">
        <f t="shared" si="10"/>
        <v>40000</v>
      </c>
      <c r="F90" s="241">
        <f t="shared" si="11"/>
        <v>0.30769230769230771</v>
      </c>
      <c r="G90" s="242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45000</v>
      </c>
      <c r="E91" s="134">
        <f t="shared" si="10"/>
        <v>45000</v>
      </c>
      <c r="F91" s="241" t="str">
        <f t="shared" si="11"/>
        <v>--</v>
      </c>
      <c r="G91" s="242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80">
        <f t="shared" si="11"/>
        <v>0</v>
      </c>
      <c r="G92" s="281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4677531</v>
      </c>
      <c r="D93" s="143">
        <f>[1]!SummCSFBY</f>
        <v>5002721</v>
      </c>
      <c r="E93" s="140">
        <f t="shared" si="10"/>
        <v>325190</v>
      </c>
      <c r="F93" s="280">
        <f t="shared" si="11"/>
        <v>6.9521719898809869E-2</v>
      </c>
      <c r="G93" s="281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10642000</v>
      </c>
      <c r="D94" s="108">
        <f>[1]!SummFedProjectsBY</f>
        <v>6302000</v>
      </c>
      <c r="E94" s="146">
        <f t="shared" si="10"/>
        <v>-4340000</v>
      </c>
      <c r="F94" s="280">
        <f t="shared" si="11"/>
        <v>-0.40781807930840069</v>
      </c>
      <c r="G94" s="281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2600000</v>
      </c>
      <c r="D95" s="107">
        <f>[1]!SummStateProjectsBY</f>
        <v>2500000</v>
      </c>
      <c r="E95" s="109">
        <f t="shared" si="10"/>
        <v>-100000</v>
      </c>
      <c r="F95" s="280">
        <f t="shared" si="11"/>
        <v>-3.8461538461538464E-2</v>
      </c>
      <c r="G95" s="281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5521755</v>
      </c>
      <c r="D96" s="107">
        <f>[1]!SummUCOBY</f>
        <v>6315445</v>
      </c>
      <c r="E96" s="109">
        <f t="shared" si="10"/>
        <v>793690</v>
      </c>
      <c r="F96" s="280">
        <f t="shared" si="11"/>
        <v>0.14373872075092067</v>
      </c>
      <c r="G96" s="281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80">
        <f t="shared" si="11"/>
        <v>0</v>
      </c>
      <c r="G97" s="281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280">
        <f t="shared" si="11"/>
        <v>0</v>
      </c>
      <c r="G98" s="281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6952950</v>
      </c>
      <c r="D99" s="107">
        <f>[1]!SumDebtServiceBY</f>
        <v>7822813</v>
      </c>
      <c r="E99" s="109">
        <f t="shared" si="10"/>
        <v>869863</v>
      </c>
      <c r="F99" s="280">
        <f t="shared" si="11"/>
        <v>0.1251070408963102</v>
      </c>
      <c r="G99" s="281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575000</v>
      </c>
      <c r="D100" s="107">
        <f>[1]!SummSchoolPlantBY</f>
        <v>575000</v>
      </c>
      <c r="E100" s="109">
        <f t="shared" si="10"/>
        <v>0</v>
      </c>
      <c r="F100" s="280">
        <f t="shared" si="11"/>
        <v>0</v>
      </c>
      <c r="G100" s="281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30000</v>
      </c>
      <c r="D101" s="107">
        <f>[1]!SummAuxOpsBY</f>
        <v>30000</v>
      </c>
      <c r="E101" s="109">
        <f t="shared" si="10"/>
        <v>0</v>
      </c>
      <c r="F101" s="280">
        <f t="shared" si="11"/>
        <v>0</v>
      </c>
      <c r="G101" s="281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1500000</v>
      </c>
      <c r="D102" s="107">
        <f>[1]!SummBondBuildingBY</f>
        <v>30000000</v>
      </c>
      <c r="E102" s="109">
        <f t="shared" si="10"/>
        <v>28500000</v>
      </c>
      <c r="F102" s="280">
        <f t="shared" si="11"/>
        <v>19</v>
      </c>
      <c r="G102" s="281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2750000</v>
      </c>
      <c r="D103" s="107">
        <f>[1]!SummFoodServiceBY</f>
        <v>2750000</v>
      </c>
      <c r="E103" s="109">
        <f t="shared" si="10"/>
        <v>0</v>
      </c>
      <c r="F103" s="280">
        <f t="shared" si="11"/>
        <v>0</v>
      </c>
      <c r="G103" s="281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4121000</v>
      </c>
      <c r="D104" s="113">
        <f>[1]!SummOtherBY</f>
        <v>4650500</v>
      </c>
      <c r="E104" s="112">
        <f t="shared" si="10"/>
        <v>529500</v>
      </c>
      <c r="F104" s="241">
        <f t="shared" si="11"/>
        <v>0.12848823101189033</v>
      </c>
      <c r="G104" s="242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8" t="s">
        <v>83</v>
      </c>
      <c r="B106" s="319"/>
      <c r="C106" s="319"/>
      <c r="D106" s="319"/>
      <c r="E106" s="320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315" t="s">
        <v>85</v>
      </c>
      <c r="B107" s="316"/>
      <c r="C107" s="317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5321503</v>
      </c>
      <c r="E108" s="154">
        <f>[1]!SummAllDisabilityBY</f>
        <v>5325510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412994</v>
      </c>
      <c r="E109" s="111">
        <f>[1]!SummGiftedBY</f>
        <v>500000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0</v>
      </c>
      <c r="E111" s="111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8" t="s">
        <v>96</v>
      </c>
      <c r="B116" s="159"/>
      <c r="C116" s="160"/>
      <c r="D116" s="161">
        <f>[1]!SummSpecEdTotalPY</f>
        <v>5734497</v>
      </c>
      <c r="E116" s="161">
        <f>[1]!SummSpecEdTotalBY</f>
        <v>5825510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10" t="s">
        <v>84</v>
      </c>
      <c r="B118" s="311"/>
      <c r="C118" s="311"/>
      <c r="D118" s="311"/>
      <c r="E118" s="311"/>
      <c r="F118" s="311"/>
      <c r="G118" s="311"/>
      <c r="H118" s="311"/>
      <c r="I118" s="312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314" t="s">
        <v>87</v>
      </c>
      <c r="B119" s="314"/>
      <c r="C119" s="314"/>
      <c r="D119" s="162" t="s">
        <v>130</v>
      </c>
      <c r="E119" s="163" t="s">
        <v>123</v>
      </c>
      <c r="F119" s="313" t="s">
        <v>124</v>
      </c>
      <c r="G119" s="313"/>
      <c r="H119" s="314" t="s">
        <v>122</v>
      </c>
      <c r="I119" s="31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0</v>
      </c>
      <c r="E121" s="166">
        <f>[1]!EmployeeFTEAdmin</f>
        <v>13</v>
      </c>
      <c r="F121" s="309">
        <f>[1]!TotalFTEAdmin</f>
        <v>13</v>
      </c>
      <c r="G121" s="309"/>
      <c r="H121" s="167" t="s">
        <v>91</v>
      </c>
      <c r="I121" s="168">
        <f>[1]!RatioAdmin</f>
        <v>172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2</v>
      </c>
      <c r="E122" s="166">
        <f>[1]!EmployeeFTETeachers</f>
        <v>170</v>
      </c>
      <c r="F122" s="309">
        <f>[1]!TotalFTETeachers</f>
        <v>172</v>
      </c>
      <c r="G122" s="309"/>
      <c r="H122" s="169" t="s">
        <v>91</v>
      </c>
      <c r="I122" s="168">
        <f>[1]!RatioTeachers</f>
        <v>13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19</v>
      </c>
      <c r="F123" s="309">
        <f>[1]!TotalFTECertOther</f>
        <v>19</v>
      </c>
      <c r="G123" s="309"/>
      <c r="H123" s="169" t="s">
        <v>91</v>
      </c>
      <c r="I123" s="168">
        <f>[1]!RatioCertOther</f>
        <v>117.7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2</v>
      </c>
      <c r="E124" s="166">
        <f>[1]!EmployeeFTECertSubtotal</f>
        <v>202</v>
      </c>
      <c r="F124" s="309">
        <f>[1]!TotalFTECertSubtotal</f>
        <v>204</v>
      </c>
      <c r="G124" s="309"/>
      <c r="H124" s="169" t="s">
        <v>91</v>
      </c>
      <c r="I124" s="168">
        <f>[1]!RatioCertSubtotal</f>
        <v>11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307"/>
      <c r="G125" s="307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8</v>
      </c>
      <c r="F126" s="309">
        <f>[1]!TotalFTEManagers</f>
        <v>8</v>
      </c>
      <c r="G126" s="309"/>
      <c r="H126" s="172" t="s">
        <v>91</v>
      </c>
      <c r="I126" s="168">
        <f>[1]!RatioManagers</f>
        <v>279.60000000000002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40</v>
      </c>
      <c r="F127" s="309">
        <f>[1]!TotalFTETeachersAides</f>
        <v>40</v>
      </c>
      <c r="G127" s="309"/>
      <c r="H127" s="169" t="s">
        <v>91</v>
      </c>
      <c r="I127" s="168">
        <f>[1]!RatioTeachersAides</f>
        <v>55.9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110</v>
      </c>
      <c r="F128" s="309">
        <f>[1]!TotalFTEClassOther</f>
        <v>110</v>
      </c>
      <c r="G128" s="309"/>
      <c r="H128" s="169" t="s">
        <v>91</v>
      </c>
      <c r="I128" s="168">
        <f>[1]!RatioClassOther</f>
        <v>20.3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158</v>
      </c>
      <c r="F129" s="309">
        <f>[1]!TotalFTEClassSubtotal</f>
        <v>158</v>
      </c>
      <c r="G129" s="309"/>
      <c r="H129" s="169" t="s">
        <v>91</v>
      </c>
      <c r="I129" s="168">
        <f>[1]!RatioClassSubtotal</f>
        <v>14.2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2</v>
      </c>
      <c r="E130" s="166">
        <f>[1]!EmployeeFTETotal</f>
        <v>360</v>
      </c>
      <c r="F130" s="309">
        <f>[1]!TotalFTETotal</f>
        <v>362</v>
      </c>
      <c r="G130" s="309"/>
      <c r="H130" s="169" t="s">
        <v>91</v>
      </c>
      <c r="I130" s="168">
        <f>[1]!RatioTotal</f>
        <v>6.2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307"/>
      <c r="G131" s="307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307"/>
      <c r="G132" s="307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2</v>
      </c>
      <c r="E133" s="176">
        <f>[1]!EmployeeFTESpecEdTeacher</f>
        <v>18</v>
      </c>
      <c r="F133" s="308">
        <f>[1]!TotalFTESpecEdTeacher</f>
        <v>20</v>
      </c>
      <c r="G133" s="308"/>
      <c r="H133" s="177" t="s">
        <v>101</v>
      </c>
      <c r="I133" s="178">
        <f>[1]!SPEDTeacher</f>
        <v>12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0</v>
      </c>
      <c r="E134" s="176">
        <f>[1]!EmployeeFTESpecEdStaff</f>
        <v>28</v>
      </c>
      <c r="F134" s="308">
        <f>[1]!TotalFTESpecEdStaff</f>
        <v>28</v>
      </c>
      <c r="G134" s="308"/>
      <c r="H134" s="177" t="s">
        <v>101</v>
      </c>
      <c r="I134" s="181">
        <f>[1]!SPEDStaff</f>
        <v>15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microsoft.com/office/infopath/2007/PartnerControls"/>
    <ds:schemaRef ds:uri="http://schemas.openxmlformats.org/package/2006/metadata/core-properties"/>
    <ds:schemaRef ds:uri="73d57025-ee5d-49b6-a60b-7d33184acc89"/>
    <ds:schemaRef ds:uri="http://purl.org/dc/dcmitype/"/>
    <ds:schemaRef ds:uri="87488a3f-9ace-46de-933a-7899c85ffea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f69ac7c7-1a2e-46bd-a988-685139f8f25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f69ac7c7-1a2e-46bd-a988-685139f8f258"/>
    <ds:schemaRef ds:uri="http://schemas.microsoft.com/office/infopath/2007/PartnerControls"/>
    <ds:schemaRef ds:uri="http://www.w3.org/XML/1998/namespace"/>
    <ds:schemaRef ds:uri="87488a3f-9ace-46de-933a-7899c85ffeab"/>
    <ds:schemaRef ds:uri="http://schemas.openxmlformats.org/package/2006/metadata/core-properties"/>
    <ds:schemaRef ds:uri="73d57025-ee5d-49b6-a60b-7d33184acc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Colleen McCabe Toscano</cp:lastModifiedBy>
  <cp:lastPrinted>2024-05-16T20:21:52Z</cp:lastPrinted>
  <dcterms:created xsi:type="dcterms:W3CDTF">2006-05-14T13:29:21Z</dcterms:created>
  <dcterms:modified xsi:type="dcterms:W3CDTF">2024-11-10T05:36:22Z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