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PATTIE\24-25 Budget Info\State Forms\"/>
    </mc:Choice>
  </mc:AlternateContent>
  <workbookProtection workbookAlgorithmName="SHA-512" workbookHashValue="A3vckreOAsZlkUWIWqkBqQMEMYXN5QuXKjjDP0JmpEcFIJC+/kvssQLPpTniAL1t688dzod1DlKdy9xXar9Aew==" workbookSaltValue="Z8BoEgFQXkhK53hoEyn8XA==" workbookSpinCount="100000" lockStructure="1"/>
  <bookViews>
    <workbookView xWindow="0" yWindow="0" windowWidth="28800" windowHeight="11700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2" l="1"/>
  <c r="D78" i="2"/>
  <c r="F67" i="2"/>
  <c r="F65" i="2"/>
  <c r="D67" i="2"/>
  <c r="D65" i="2"/>
  <c r="F54" i="2"/>
  <c r="F52" i="2"/>
  <c r="D54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F98" i="2" s="1"/>
  <c r="D97" i="2"/>
  <c r="C97" i="2"/>
  <c r="D96" i="2"/>
  <c r="C96" i="2"/>
  <c r="E96" i="2" s="1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H80" i="2"/>
  <c r="F80" i="2"/>
  <c r="E80" i="2"/>
  <c r="D80" i="2"/>
  <c r="H78" i="2"/>
  <c r="E78" i="2"/>
  <c r="J78" i="2" s="1"/>
  <c r="H77" i="2"/>
  <c r="F77" i="2"/>
  <c r="E77" i="2"/>
  <c r="D77" i="2"/>
  <c r="H76" i="2"/>
  <c r="F76" i="2"/>
  <c r="E76" i="2"/>
  <c r="D76" i="2"/>
  <c r="I76" i="2" s="1"/>
  <c r="H75" i="2"/>
  <c r="F75" i="2"/>
  <c r="E75" i="2"/>
  <c r="D75" i="2"/>
  <c r="H73" i="2"/>
  <c r="F73" i="2"/>
  <c r="E73" i="2"/>
  <c r="D73" i="2"/>
  <c r="H72" i="2"/>
  <c r="F72" i="2"/>
  <c r="E72" i="2"/>
  <c r="D72" i="2"/>
  <c r="H71" i="2"/>
  <c r="F71" i="2"/>
  <c r="E71" i="2"/>
  <c r="D71" i="2"/>
  <c r="H70" i="2"/>
  <c r="F70" i="2"/>
  <c r="E70" i="2"/>
  <c r="D70" i="2"/>
  <c r="H69" i="2"/>
  <c r="F69" i="2"/>
  <c r="E69" i="2"/>
  <c r="D69" i="2"/>
  <c r="H67" i="2"/>
  <c r="E67" i="2"/>
  <c r="H65" i="2"/>
  <c r="E65" i="2"/>
  <c r="H63" i="2"/>
  <c r="F63" i="2"/>
  <c r="E63" i="2"/>
  <c r="D63" i="2"/>
  <c r="H62" i="2"/>
  <c r="F62" i="2"/>
  <c r="E62" i="2"/>
  <c r="D62" i="2"/>
  <c r="H61" i="2"/>
  <c r="F61" i="2"/>
  <c r="E61" i="2"/>
  <c r="D61" i="2"/>
  <c r="H60" i="2"/>
  <c r="F60" i="2"/>
  <c r="E60" i="2"/>
  <c r="D60" i="2"/>
  <c r="H59" i="2"/>
  <c r="F59" i="2"/>
  <c r="E59" i="2"/>
  <c r="D59" i="2"/>
  <c r="I59" i="2" s="1"/>
  <c r="H58" i="2"/>
  <c r="F58" i="2"/>
  <c r="E58" i="2"/>
  <c r="D58" i="2"/>
  <c r="H57" i="2"/>
  <c r="F57" i="2"/>
  <c r="E57" i="2"/>
  <c r="D57" i="2"/>
  <c r="H56" i="2"/>
  <c r="F56" i="2"/>
  <c r="E56" i="2"/>
  <c r="D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K33" i="2"/>
  <c r="K32" i="2"/>
  <c r="E32" i="2"/>
  <c r="D32" i="2"/>
  <c r="C32" i="2"/>
  <c r="K31" i="2"/>
  <c r="K30" i="2"/>
  <c r="K22" i="2"/>
  <c r="A24" i="2" s="1"/>
  <c r="C1" i="2"/>
  <c r="J57" i="2" l="1"/>
  <c r="J80" i="2"/>
  <c r="K21" i="2"/>
  <c r="J59" i="2"/>
  <c r="J58" i="2"/>
  <c r="J67" i="2"/>
  <c r="I65" i="2"/>
  <c r="E93" i="2"/>
  <c r="I69" i="2"/>
  <c r="I57" i="2"/>
  <c r="K57" i="2" s="1"/>
  <c r="I75" i="2"/>
  <c r="F90" i="2"/>
  <c r="J76" i="2"/>
  <c r="K76" i="2" s="1"/>
  <c r="F92" i="2"/>
  <c r="J77" i="2"/>
  <c r="F100" i="2"/>
  <c r="J69" i="2"/>
  <c r="E92" i="2"/>
  <c r="E90" i="2"/>
  <c r="K69" i="2"/>
  <c r="K59" i="2"/>
  <c r="E100" i="2"/>
  <c r="I58" i="2"/>
  <c r="F97" i="2"/>
  <c r="H64" i="2"/>
  <c r="E94" i="2"/>
  <c r="F94" i="2" s="1"/>
  <c r="E74" i="2"/>
  <c r="E102" i="2"/>
  <c r="F102" i="2" s="1"/>
  <c r="H74" i="2"/>
  <c r="F96" i="2"/>
  <c r="F103" i="2"/>
  <c r="F74" i="2"/>
  <c r="I67" i="2"/>
  <c r="I54" i="2"/>
  <c r="I60" i="2"/>
  <c r="I62" i="2"/>
  <c r="D74" i="2"/>
  <c r="I72" i="2"/>
  <c r="E91" i="2"/>
  <c r="E99" i="2"/>
  <c r="E104" i="2"/>
  <c r="F104" i="2" s="1"/>
  <c r="J54" i="2"/>
  <c r="J60" i="2"/>
  <c r="J62" i="2"/>
  <c r="J70" i="2"/>
  <c r="J72" i="2"/>
  <c r="I78" i="2"/>
  <c r="K78" i="2" s="1"/>
  <c r="I52" i="2"/>
  <c r="I61" i="2"/>
  <c r="I63" i="2"/>
  <c r="I71" i="2"/>
  <c r="I73" i="2"/>
  <c r="J75" i="2"/>
  <c r="I77" i="2"/>
  <c r="K77" i="2" s="1"/>
  <c r="E95" i="2"/>
  <c r="F95" i="2" s="1"/>
  <c r="E103" i="2"/>
  <c r="E64" i="2"/>
  <c r="J56" i="2"/>
  <c r="J61" i="2"/>
  <c r="J63" i="2"/>
  <c r="J71" i="2"/>
  <c r="J73" i="2"/>
  <c r="I80" i="2"/>
  <c r="K80" i="2" s="1"/>
  <c r="E98" i="2"/>
  <c r="A3" i="2"/>
  <c r="F64" i="2"/>
  <c r="F101" i="2"/>
  <c r="A21" i="2"/>
  <c r="I56" i="2"/>
  <c r="F91" i="2"/>
  <c r="F99" i="2"/>
  <c r="D24" i="2"/>
  <c r="J52" i="2"/>
  <c r="J65" i="2"/>
  <c r="D64" i="2"/>
  <c r="I70" i="2"/>
  <c r="F93" i="2"/>
  <c r="E89" i="2"/>
  <c r="F89" i="2" s="1"/>
  <c r="E97" i="2"/>
  <c r="E101" i="2"/>
  <c r="K67" i="2" l="1"/>
  <c r="K58" i="2"/>
  <c r="K75" i="2"/>
  <c r="D81" i="2"/>
  <c r="F81" i="2"/>
  <c r="E81" i="2"/>
  <c r="K56" i="2"/>
  <c r="J64" i="2"/>
  <c r="H81" i="2"/>
  <c r="K73" i="2"/>
  <c r="K71" i="2"/>
  <c r="K61" i="2"/>
  <c r="K70" i="2"/>
  <c r="K72" i="2"/>
  <c r="J74" i="2"/>
  <c r="K60" i="2"/>
  <c r="K62" i="2"/>
  <c r="K63" i="2"/>
  <c r="K54" i="2"/>
  <c r="K65" i="2"/>
  <c r="I64" i="2"/>
  <c r="K52" i="2"/>
  <c r="I74" i="2"/>
  <c r="J81" i="2" l="1"/>
  <c r="K74" i="2"/>
  <c r="I81" i="2"/>
  <c r="K81" i="2" s="1"/>
  <c r="K64" i="2"/>
</calcChain>
</file>

<file path=xl/sharedStrings.xml><?xml version="1.0" encoding="utf-8"?>
<sst xmlns="http://schemas.openxmlformats.org/spreadsheetml/2006/main" count="189" uniqueCount="152">
  <si>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</si>
  <si>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</si>
  <si>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</si>
  <si>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</si>
  <si>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</si>
  <si>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</si>
  <si>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</si>
  <si>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</si>
  <si>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</si>
  <si>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</si>
  <si>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</si>
  <si>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</si>
  <si>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</si>
  <si>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</si>
  <si>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</si>
  <si>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</si>
  <si>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</si>
  <si>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</si>
  <si>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</si>
  <si>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</si>
  <si>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</si>
  <si>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</si>
  <si>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</si>
  <si>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</si>
  <si>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</si>
  <si>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</si>
  <si>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</si>
  <si>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</si>
  <si>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</si>
  <si>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</si>
  <si>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</si>
  <si>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</si>
  <si>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</si>
  <si>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</si>
  <si>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</si>
  <si>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</si>
  <si>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</si>
  <si>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</si>
  <si>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</si>
  <si>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</si>
  <si>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</si>
  <si>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</si>
  <si>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</si>
  <si>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</si>
  <si>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</si>
  <si>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</si>
  <si>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</si>
  <si>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</si>
  <si>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</si>
  <si>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</si>
  <si>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</si>
  <si>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</si>
  <si>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</si>
  <si>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</si>
  <si>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</si>
  <si>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</si>
  <si>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</si>
  <si>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</si>
  <si>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</si>
  <si>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</si>
  <si>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</si>
  <si>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</si>
  <si>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</si>
  <si>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</si>
  <si>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</si>
  <si>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</si>
  <si>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</si>
  <si>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</si>
  <si>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</si>
  <si>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</si>
  <si>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</si>
  <si>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</si>
  <si>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</si>
  <si>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</si>
  <si>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</si>
  <si>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</si>
  <si>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</si>
  <si>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</si>
  <si>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</si>
  <si>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</si>
  <si>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</si>
  <si>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</si>
  <si>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</si>
  <si>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</si>
  <si>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</si>
  <si>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</si>
  <si>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</si>
  <si>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</si>
  <si>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</si>
  <si>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</si>
  <si>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</si>
  <si>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</si>
  <si>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</si>
  <si>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</si>
  <si>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</si>
  <si>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</si>
  <si>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</si>
  <si>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</si>
  <si>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</si>
  <si>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</si>
  <si>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</si>
  <si>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</si>
  <si>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</si>
  <si>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</si>
  <si>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</si>
  <si>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</si>
  <si>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</si>
  <si>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</si>
  <si>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</si>
  <si>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</si>
  <si>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</si>
  <si>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</si>
  <si>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</si>
  <si>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</si>
  <si>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</si>
  <si>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</si>
  <si>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</si>
  <si>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</si>
  <si>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</si>
  <si>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</si>
  <si>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</si>
  <si>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</si>
  <si>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</si>
  <si>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</si>
  <si>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</si>
  <si>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</si>
  <si>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</si>
  <si>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</si>
  <si>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</si>
  <si>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</si>
  <si>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</si>
  <si>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County for fiscal year 2025 was officially</t>
  </si>
  <si>
    <t>, 2024, and that the complete Revised Expenditure Budget may be reviewed by contacting</t>
  </si>
  <si>
    <t>, 2024, and that the complete Proposed Expenditure Budget may be reviewed by contacting</t>
  </si>
  <si>
    <t>1. Average salary of all teachers employed in FY 2025 (budget year)</t>
  </si>
  <si>
    <t>2. Average salary of all teachers employed in FY 2024 (prior year)</t>
  </si>
  <si>
    <t>2023 ADM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</si>
  <si>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</si>
  <si>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</si>
  <si>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2025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</si>
  <si>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2025 Expenditure Budget.</t>
    </r>
  </si>
  <si>
    <t>6:00pm</t>
  </si>
  <si>
    <t>1226 W Osborn Road</t>
  </si>
  <si>
    <t>Board Room</t>
  </si>
  <si>
    <t>Phoenix</t>
  </si>
  <si>
    <t>Lisa Nye</t>
  </si>
  <si>
    <t>602-707-2002</t>
  </si>
  <si>
    <t>lnye@osbornsd.org</t>
  </si>
  <si>
    <t>Osborn School</t>
  </si>
  <si>
    <t>Maricopa</t>
  </si>
  <si>
    <t>June 11</t>
  </si>
  <si>
    <t>070408000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</si>
</sst>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4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3" fillId="0" borderId="0"/>
    <xf numFmtId="0" fontId="9" fillId="2" borderId="0"/>
    <xf numFmtId="0" fontId="3" fillId="2" borderId="0"/>
    <xf numFmtId="0" fontId="3" fillId="2" borderId="0"/>
  </cellStyleXfs>
  <cellXfs count="321">
    <xf numFmtId="0" fontId="0" fillId="0" borderId="0" xfId="0"/>
    <xf numFmtId="0" fontId="23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3" fillId="0" borderId="0" xfId="7" applyAlignment="1">
      <alignment horizontal="right"/>
    </xf>
    <xf numFmtId="49" fontId="23" fillId="0" borderId="2" xfId="7" applyNumberFormat="1" applyBorder="1"/>
    <xf numFmtId="0" fontId="23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3" fillId="0" borderId="0" xfId="7" applyAlignment="1">
      <alignment horizontal="center"/>
    </xf>
    <xf numFmtId="0" fontId="2" fillId="0" borderId="0" xfId="7" applyFont="1"/>
    <xf numFmtId="164" fontId="23" fillId="0" borderId="0" xfId="7" applyNumberFormat="1" applyAlignment="1">
      <alignment horizontal="center"/>
    </xf>
    <xf numFmtId="0" fontId="23" fillId="0" borderId="1" xfId="7" applyBorder="1" applyAlignment="1">
      <alignment horizontal="center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3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8" fillId="3" borderId="4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3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3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3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31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2" xfId="10" applyNumberFormat="1" applyFont="1" applyBorder="1"/>
    <xf numFmtId="0" fontId="5" fillId="0" borderId="25" xfId="7" applyFont="1" applyBorder="1"/>
    <xf numFmtId="0" fontId="5" fillId="0" borderId="33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3" fillId="0" borderId="7" xfId="7" applyBorder="1"/>
    <xf numFmtId="37" fontId="7" fillId="0" borderId="34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5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3" fillId="0" borderId="12" xfId="7" applyBorder="1"/>
    <xf numFmtId="37" fontId="7" fillId="0" borderId="36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4" fillId="0" borderId="27" xfId="10" applyNumberFormat="1" applyFont="1" applyFill="1" applyBorder="1" applyAlignment="1">
      <alignment horizontal="center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8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37" fontId="20" fillId="0" borderId="25" xfId="9" applyNumberFormat="1" applyFont="1" applyFill="1" applyBorder="1" applyAlignment="1">
      <alignment horizontal="left"/>
    </xf>
    <xf numFmtId="0" fontId="21" fillId="0" borderId="0" xfId="9" applyFont="1" applyFill="1" applyAlignment="1">
      <alignment horizontal="center" vertical="top"/>
    </xf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167" fontId="7" fillId="2" borderId="28" xfId="10" applyNumberFormat="1" applyFont="1" applyBorder="1"/>
    <xf numFmtId="167" fontId="7" fillId="2" borderId="38" xfId="10" applyNumberFormat="1" applyFont="1" applyBorder="1"/>
    <xf numFmtId="37" fontId="4" fillId="2" borderId="28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2" borderId="38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40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41" xfId="10" applyNumberFormat="1" applyFont="1" applyBorder="1" applyAlignment="1">
      <alignment horizontal="center"/>
    </xf>
    <xf numFmtId="167" fontId="7" fillId="2" borderId="28" xfId="9" applyNumberFormat="1" applyFont="1" applyBorder="1" applyAlignment="1">
      <alignment horizontal="right"/>
    </xf>
    <xf numFmtId="167" fontId="7" fillId="2" borderId="42" xfId="9" applyNumberFormat="1" applyFont="1" applyBorder="1" applyAlignment="1">
      <alignment horizontal="right"/>
    </xf>
    <xf numFmtId="37" fontId="4" fillId="2" borderId="8" xfId="9" applyNumberFormat="1" applyFont="1" applyBorder="1" applyAlignment="1">
      <alignment horizontal="center"/>
    </xf>
    <xf numFmtId="37" fontId="4" fillId="2" borderId="9" xfId="10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12" xfId="10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8" xfId="10" applyNumberFormat="1" applyFont="1" applyFill="1" applyBorder="1"/>
    <xf numFmtId="37" fontId="7" fillId="2" borderId="28" xfId="9" applyNumberFormat="1" applyFont="1" applyBorder="1"/>
    <xf numFmtId="37" fontId="7" fillId="2" borderId="38" xfId="9" applyNumberFormat="1" applyFont="1" applyBorder="1"/>
    <xf numFmtId="37" fontId="5" fillId="2" borderId="43" xfId="9" applyNumberFormat="1" applyFont="1" applyBorder="1"/>
    <xf numFmtId="37" fontId="5" fillId="2" borderId="44" xfId="9" applyNumberFormat="1" applyFont="1" applyBorder="1"/>
    <xf numFmtId="37" fontId="7" fillId="0" borderId="28" xfId="9" applyNumberFormat="1" applyFont="1" applyFill="1" applyBorder="1"/>
    <xf numFmtId="37" fontId="7" fillId="0" borderId="38" xfId="9" applyNumberFormat="1" applyFont="1" applyFill="1" applyBorder="1"/>
    <xf numFmtId="37" fontId="5" fillId="0" borderId="28" xfId="9" applyNumberFormat="1" applyFont="1" applyFill="1" applyBorder="1"/>
    <xf numFmtId="37" fontId="5" fillId="0" borderId="38" xfId="9" applyNumberFormat="1" applyFont="1" applyFill="1" applyBorder="1"/>
    <xf numFmtId="167" fontId="7" fillId="0" borderId="28" xfId="9" applyNumberFormat="1" applyFont="1" applyFill="1" applyBorder="1" applyAlignment="1">
      <alignment horizontal="right"/>
    </xf>
    <xf numFmtId="167" fontId="7" fillId="0" borderId="42" xfId="9" applyNumberFormat="1" applyFont="1" applyFill="1" applyBorder="1" applyAlignment="1">
      <alignment horizontal="right"/>
    </xf>
    <xf numFmtId="167" fontId="7" fillId="2" borderId="43" xfId="9" applyNumberFormat="1" applyFont="1" applyBorder="1" applyAlignment="1">
      <alignment horizontal="right"/>
    </xf>
    <xf numFmtId="167" fontId="7" fillId="2" borderId="45" xfId="9" applyNumberFormat="1" applyFont="1" applyBorder="1" applyAlignment="1">
      <alignment horizontal="right"/>
    </xf>
    <xf numFmtId="37" fontId="7" fillId="0" borderId="26" xfId="9" applyNumberFormat="1" applyFont="1" applyFill="1" applyBorder="1"/>
    <xf numFmtId="37" fontId="7" fillId="0" borderId="13" xfId="9" applyNumberFormat="1" applyFont="1" applyFill="1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167" fontId="7" fillId="2" borderId="11" xfId="9" applyNumberFormat="1" applyFont="1" applyBorder="1" applyAlignment="1">
      <alignment horizontal="right"/>
    </xf>
    <xf numFmtId="167" fontId="7" fillId="2" borderId="46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7" fillId="2" borderId="26" xfId="9" applyNumberFormat="1" applyFont="1" applyBorder="1"/>
    <xf numFmtId="37" fontId="7" fillId="2" borderId="13" xfId="9" applyNumberFormat="1" applyFont="1" applyBorder="1"/>
    <xf numFmtId="9" fontId="5" fillId="0" borderId="37" xfId="1" applyFont="1" applyFill="1" applyBorder="1" applyProtection="1"/>
    <xf numFmtId="9" fontId="5" fillId="0" borderId="3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8" xfId="9" applyNumberFormat="1" applyFont="1" applyBorder="1" applyAlignment="1">
      <alignment horizontal="right"/>
    </xf>
    <xf numFmtId="37" fontId="4" fillId="2" borderId="11" xfId="9" applyNumberFormat="1" applyFont="1" applyBorder="1" applyAlignment="1">
      <alignment horizontal="center"/>
    </xf>
    <xf numFmtId="37" fontId="4" fillId="2" borderId="46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47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7" xfId="9" applyNumberFormat="1" applyFont="1" applyBorder="1" applyAlignment="1">
      <alignment horizontal="center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7" fillId="0" borderId="11" xfId="9" applyNumberFormat="1" applyFont="1" applyFill="1" applyBorder="1"/>
    <xf numFmtId="37" fontId="7" fillId="0" borderId="7" xfId="9" applyNumberFormat="1" applyFont="1" applyFill="1" applyBorder="1"/>
    <xf numFmtId="37" fontId="7" fillId="0" borderId="14" xfId="9" applyNumberFormat="1" applyFont="1" applyFill="1" applyBorder="1"/>
    <xf numFmtId="37" fontId="7" fillId="0" borderId="12" xfId="9" applyNumberFormat="1" applyFont="1" applyFill="1" applyBorder="1"/>
    <xf numFmtId="0" fontId="23" fillId="0" borderId="13" xfId="7" applyBorder="1"/>
    <xf numFmtId="0" fontId="10" fillId="2" borderId="13" xfId="7" applyFont="1" applyFill="1" applyBorder="1"/>
    <xf numFmtId="166" fontId="7" fillId="2" borderId="48" xfId="9" applyNumberFormat="1" applyFont="1" applyBorder="1"/>
    <xf numFmtId="166" fontId="7" fillId="2" borderId="49" xfId="9" applyNumberFormat="1" applyFont="1" applyBorder="1"/>
    <xf numFmtId="166" fontId="7" fillId="2" borderId="50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0" fontId="6" fillId="2" borderId="38" xfId="10" applyFont="1" applyBorder="1" applyAlignment="1">
      <alignment horizontal="center"/>
    </xf>
    <xf numFmtId="37" fontId="11" fillId="2" borderId="0" xfId="9" applyNumberFormat="1" applyFont="1" applyAlignment="1">
      <alignment horizontal="left" vertical="center"/>
    </xf>
    <xf numFmtId="0" fontId="23" fillId="0" borderId="0" xfId="7"/>
    <xf numFmtId="37" fontId="11" fillId="2" borderId="2" xfId="9" applyNumberFormat="1" applyFont="1" applyBorder="1" applyAlignment="1">
      <alignment horizontal="left" vertical="center"/>
    </xf>
    <xf numFmtId="0" fontId="23" fillId="0" borderId="2" xfId="7" applyBorder="1"/>
    <xf numFmtId="0" fontId="10" fillId="0" borderId="13" xfId="7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51" xfId="9" applyNumberFormat="1" applyFont="1" applyBorder="1"/>
    <xf numFmtId="166" fontId="7" fillId="2" borderId="52" xfId="9" applyNumberFormat="1" applyFont="1" applyBorder="1"/>
    <xf numFmtId="166" fontId="7" fillId="2" borderId="53" xfId="9" applyNumberFormat="1" applyFont="1" applyBorder="1"/>
    <xf numFmtId="166" fontId="7" fillId="2" borderId="19" xfId="9" applyNumberFormat="1" applyFont="1" applyBorder="1"/>
    <xf numFmtId="166" fontId="7" fillId="2" borderId="54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3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0" fontId="23" fillId="0" borderId="13" xfId="7" applyFill="1" applyBorder="1"/>
    <xf numFmtId="0" fontId="23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3" fillId="0" borderId="0" xfId="7" applyAlignment="1">
      <alignment vertical="top" wrapText="1"/>
    </xf>
    <xf numFmtId="0" fontId="23" fillId="0" borderId="0" xfId="7" applyAlignment="1">
      <alignment horizontal="left"/>
    </xf>
    <xf numFmtId="0" fontId="23" fillId="0" borderId="18" xfId="7" applyBorder="1" applyAlignment="1" applyProtection="1">
      <alignment horizontal="left" vertical="top" wrapText="1"/>
      <protection locked="0"/>
    </xf>
    <xf numFmtId="0" fontId="23" fillId="0" borderId="1" xfId="7" applyBorder="1" applyAlignment="1" applyProtection="1">
      <alignment horizontal="left" vertical="top" wrapText="1"/>
      <protection locked="0"/>
    </xf>
    <xf numFmtId="0" fontId="23" fillId="0" borderId="41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3" fillId="0" borderId="2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23" fillId="0" borderId="1" xfId="7" applyBorder="1" applyAlignment="1" applyProtection="1">
      <alignment horizontal="left"/>
      <protection locked="0"/>
    </xf>
    <xf numFmtId="0" fontId="0" fillId="0" borderId="2" xfId="7" applyFont="1" applyBorder="1" applyAlignment="1" applyProtection="1">
      <alignment horizontal="left"/>
      <protection locked="0"/>
    </xf>
    <xf numFmtId="14" fontId="23" fillId="0" borderId="2" xfId="7" applyNumberFormat="1" applyBorder="1" applyAlignment="1" applyProtection="1">
      <alignment horizontal="center"/>
      <protection locked="0"/>
    </xf>
    <xf numFmtId="164" fontId="0" fillId="0" borderId="2" xfId="7" applyNumberFormat="1" applyFont="1" applyBorder="1" applyAlignment="1" applyProtection="1">
      <alignment horizontal="center"/>
      <protection locked="0"/>
    </xf>
    <xf numFmtId="164" fontId="23" fillId="0" borderId="2" xfId="7" applyNumberFormat="1" applyBorder="1" applyAlignment="1" applyProtection="1">
      <alignment horizontal="center"/>
      <protection locked="0"/>
    </xf>
    <xf numFmtId="0" fontId="23" fillId="0" borderId="0" xfId="7" applyAlignment="1">
      <alignment horizontal="center"/>
    </xf>
    <xf numFmtId="0" fontId="0" fillId="0" borderId="2" xfId="7" applyFont="1" applyBorder="1" applyAlignment="1" applyProtection="1">
      <alignment horizontal="center"/>
      <protection locked="0"/>
    </xf>
    <xf numFmtId="0" fontId="23" fillId="0" borderId="2" xfId="7" applyBorder="1" applyAlignment="1" applyProtection="1">
      <alignment horizontal="center"/>
      <protection locked="0"/>
    </xf>
    <xf numFmtId="0" fontId="6" fillId="0" borderId="2" xfId="9" applyFont="1" applyFill="1" applyBorder="1" applyAlignment="1" applyProtection="1">
      <alignment horizontal="center"/>
      <protection locked="0"/>
    </xf>
    <xf numFmtId="0" fontId="23" fillId="0" borderId="1" xfId="7" applyBorder="1" applyAlignment="1" applyProtection="1">
      <alignment horizontal="center"/>
      <protection locked="0"/>
    </xf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3" fillId="0" borderId="0" xfId="7" applyAlignment="1">
      <alignment horizontal="left" vertical="center" wrapText="1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7" xfId="0" applyNumberFormat="1" applyFont="1" applyBorder="1"/>
    <xf numFmtId="38" fontId="5" fillId="0" borderId="38" xfId="0" applyNumberFormat="1" applyFont="1" applyBorder="1"/>
    <xf numFmtId="37" fontId="5" fillId="0" borderId="37" xfId="0" applyNumberFormat="1" applyFont="1" applyBorder="1"/>
    <xf numFmtId="37" fontId="5" fillId="0" borderId="38" xfId="0" applyNumberFormat="1" applyFont="1" applyBorder="1"/>
    <xf numFmtId="0" fontId="0" fillId="0" borderId="1" xfId="7" applyFont="1" applyBorder="1" applyAlignment="1" applyProtection="1">
      <alignment horizontal="center"/>
      <protection locked="0"/>
    </xf>
  </cellXfs>
  <cellStyles count="11">
    <cellStyle name="Comma" xfId="4"/>
    <cellStyle name="Comma [0]" xfId="5"/>
    <cellStyle name="Currency" xfId="2"/>
    <cellStyle name="Currency [0]" xfId="3"/>
    <cellStyle name="Hyperlink" xfId="6"/>
    <cellStyle name="Normal" xfId="0" builtinId="0"/>
    <cellStyle name="Normal 2" xfId="7"/>
    <cellStyle name="Normal_98-99Smry" xfId="8"/>
    <cellStyle name="Normal_Summary Page 1" xfId="9"/>
    <cellStyle name="Normal_Summary Page 2" xfId="1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5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OSBORN SCHOOL DISTRICT</v>
          </cell>
        </row>
        <row r="8">
          <cell r="C8" t="str">
            <v>Adopted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61375</v>
          </cell>
        </row>
        <row r="11">
          <cell r="I11">
            <v>60193</v>
          </cell>
        </row>
        <row r="12">
          <cell r="B12">
            <v>2271.5783999999999</v>
          </cell>
          <cell r="C12">
            <v>2184.7761</v>
          </cell>
          <cell r="D12">
            <v>2424.9250000000002</v>
          </cell>
          <cell r="I12">
            <v>1182</v>
          </cell>
        </row>
        <row r="13">
          <cell r="I13">
            <v>0.02</v>
          </cell>
        </row>
        <row r="15">
          <cell r="E15" t="str">
            <v xml:space="preserve">Comments on average salary calculation (Optional): All returning staff in the District (classified, certified and administrative) received a 2% increase for the 24/25sy. </v>
          </cell>
        </row>
        <row r="16">
          <cell r="C16">
            <v>1.7962</v>
          </cell>
          <cell r="D16">
            <v>1.7343</v>
          </cell>
        </row>
        <row r="19">
          <cell r="C19">
            <v>1.9393</v>
          </cell>
          <cell r="D19">
            <v>2.1543000000000001</v>
          </cell>
        </row>
        <row r="22">
          <cell r="C22">
            <v>23978605</v>
          </cell>
          <cell r="D22">
            <v>23978605</v>
          </cell>
        </row>
        <row r="23">
          <cell r="C23">
            <v>4925816</v>
          </cell>
          <cell r="D23">
            <v>4925816</v>
          </cell>
        </row>
        <row r="24">
          <cell r="C24">
            <v>5784383</v>
          </cell>
          <cell r="D24">
            <v>5784383</v>
          </cell>
        </row>
        <row r="33">
          <cell r="C33">
            <v>9532591</v>
          </cell>
          <cell r="D33">
            <v>9768041</v>
          </cell>
          <cell r="E33">
            <v>262144</v>
          </cell>
          <cell r="F33">
            <v>262144</v>
          </cell>
        </row>
        <row r="35">
          <cell r="C35">
            <v>479300</v>
          </cell>
          <cell r="D35">
            <v>491809</v>
          </cell>
          <cell r="E35">
            <v>15000</v>
          </cell>
          <cell r="F35">
            <v>36569</v>
          </cell>
        </row>
        <row r="36">
          <cell r="C36">
            <v>589402</v>
          </cell>
          <cell r="D36">
            <v>604812</v>
          </cell>
          <cell r="E36">
            <v>23500</v>
          </cell>
          <cell r="F36">
            <v>23500</v>
          </cell>
        </row>
        <row r="37">
          <cell r="C37">
            <v>2080713</v>
          </cell>
          <cell r="D37">
            <v>2131647</v>
          </cell>
          <cell r="E37">
            <v>303500</v>
          </cell>
          <cell r="F37">
            <v>306000</v>
          </cell>
        </row>
        <row r="38">
          <cell r="C38">
            <v>1100426</v>
          </cell>
          <cell r="D38">
            <v>1126443</v>
          </cell>
          <cell r="E38">
            <v>1395000</v>
          </cell>
          <cell r="F38">
            <v>1520000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75000</v>
          </cell>
          <cell r="F40">
            <v>75000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15500</v>
          </cell>
          <cell r="D42">
            <v>15500</v>
          </cell>
          <cell r="E42">
            <v>6100</v>
          </cell>
          <cell r="F42">
            <v>6100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6">
          <cell r="C46">
            <v>3768589</v>
          </cell>
          <cell r="D46">
            <v>3865321</v>
          </cell>
          <cell r="E46">
            <v>269433</v>
          </cell>
          <cell r="F46">
            <v>269433</v>
          </cell>
        </row>
        <row r="48">
          <cell r="C48">
            <v>1230635</v>
          </cell>
          <cell r="D48">
            <v>1260946</v>
          </cell>
          <cell r="E48">
            <v>209492</v>
          </cell>
          <cell r="F48">
            <v>459000</v>
          </cell>
        </row>
        <row r="49">
          <cell r="C49">
            <v>246348</v>
          </cell>
          <cell r="D49">
            <v>252422</v>
          </cell>
          <cell r="E49">
            <v>7000</v>
          </cell>
          <cell r="F49">
            <v>7000</v>
          </cell>
        </row>
        <row r="50">
          <cell r="C50">
            <v>0</v>
          </cell>
          <cell r="D50">
            <v>0</v>
          </cell>
          <cell r="E50">
            <v>2500</v>
          </cell>
          <cell r="F50">
            <v>2500</v>
          </cell>
        </row>
        <row r="51">
          <cell r="C51">
            <v>0</v>
          </cell>
          <cell r="D51">
            <v>0</v>
          </cell>
          <cell r="E51">
            <v>500</v>
          </cell>
          <cell r="F51">
            <v>500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1159412</v>
          </cell>
          <cell r="D55">
            <v>1188251</v>
          </cell>
          <cell r="E55">
            <v>110000</v>
          </cell>
          <cell r="F55">
            <v>110000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9">
          <cell r="C59">
            <v>0</v>
          </cell>
          <cell r="D59">
            <v>0</v>
          </cell>
          <cell r="F59">
            <v>0</v>
          </cell>
        </row>
        <row r="60">
          <cell r="C60">
            <v>197904</v>
          </cell>
          <cell r="D60">
            <v>195667</v>
          </cell>
          <cell r="E60">
            <v>0</v>
          </cell>
          <cell r="F60">
            <v>0</v>
          </cell>
        </row>
      </sheetData>
      <sheetData sheetId="12">
        <row r="6">
          <cell r="C6">
            <v>23079989</v>
          </cell>
          <cell r="D6">
            <v>23978605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4677531</v>
          </cell>
          <cell r="D10">
            <v>4925816</v>
          </cell>
        </row>
        <row r="11">
          <cell r="C11">
            <v>10642000</v>
          </cell>
          <cell r="D11">
            <v>6302000</v>
          </cell>
        </row>
        <row r="12">
          <cell r="C12">
            <v>2600000</v>
          </cell>
          <cell r="D12">
            <v>2500000</v>
          </cell>
        </row>
        <row r="13">
          <cell r="C13">
            <v>5521755</v>
          </cell>
          <cell r="D13">
            <v>5784383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6952950</v>
          </cell>
          <cell r="D16">
            <v>7822813</v>
          </cell>
        </row>
        <row r="17">
          <cell r="C17">
            <v>575000</v>
          </cell>
          <cell r="D17">
            <v>575000</v>
          </cell>
        </row>
        <row r="18">
          <cell r="C18">
            <v>30000</v>
          </cell>
          <cell r="D18">
            <v>30000</v>
          </cell>
        </row>
        <row r="19">
          <cell r="C19">
            <v>1500000</v>
          </cell>
          <cell r="D19">
            <v>30000000</v>
          </cell>
        </row>
        <row r="20">
          <cell r="C20">
            <v>2750000</v>
          </cell>
          <cell r="D20">
            <v>2750000</v>
          </cell>
        </row>
        <row r="21">
          <cell r="C21">
            <v>4121000</v>
          </cell>
          <cell r="D21">
            <v>4650500</v>
          </cell>
        </row>
        <row r="25">
          <cell r="D25">
            <v>5321503</v>
          </cell>
          <cell r="E25">
            <v>5617122</v>
          </cell>
        </row>
        <row r="26">
          <cell r="D26">
            <v>412994</v>
          </cell>
          <cell r="E26">
            <v>500000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5734497</v>
          </cell>
          <cell r="E33">
            <v>6117122</v>
          </cell>
        </row>
        <row r="38">
          <cell r="D38">
            <v>0</v>
          </cell>
          <cell r="E38">
            <v>13</v>
          </cell>
          <cell r="F38">
            <v>13</v>
          </cell>
          <cell r="H38">
            <v>186.5</v>
          </cell>
        </row>
        <row r="39">
          <cell r="D39"/>
          <cell r="E39">
            <v>172</v>
          </cell>
          <cell r="F39">
            <v>172</v>
          </cell>
          <cell r="H39">
            <v>14.1</v>
          </cell>
        </row>
        <row r="40">
          <cell r="D40"/>
          <cell r="E40">
            <v>19</v>
          </cell>
          <cell r="F40">
            <v>19</v>
          </cell>
          <cell r="H40">
            <v>127.6</v>
          </cell>
        </row>
        <row r="41">
          <cell r="D41">
            <v>0</v>
          </cell>
          <cell r="E41">
            <v>204</v>
          </cell>
          <cell r="F41">
            <v>204</v>
          </cell>
          <cell r="H41">
            <v>11.9</v>
          </cell>
        </row>
        <row r="43">
          <cell r="D43"/>
          <cell r="E43">
            <v>8</v>
          </cell>
          <cell r="F43">
            <v>8</v>
          </cell>
          <cell r="H43">
            <v>303.10000000000002</v>
          </cell>
        </row>
        <row r="44">
          <cell r="D44"/>
          <cell r="E44">
            <v>40</v>
          </cell>
          <cell r="F44">
            <v>40</v>
          </cell>
          <cell r="H44">
            <v>60.6</v>
          </cell>
        </row>
        <row r="45">
          <cell r="D45"/>
          <cell r="E45">
            <v>110</v>
          </cell>
          <cell r="F45">
            <v>110</v>
          </cell>
          <cell r="H45">
            <v>22</v>
          </cell>
        </row>
        <row r="46">
          <cell r="D46">
            <v>0</v>
          </cell>
          <cell r="E46">
            <v>158</v>
          </cell>
          <cell r="F46">
            <v>158</v>
          </cell>
          <cell r="H46">
            <v>15.3</v>
          </cell>
        </row>
        <row r="47">
          <cell r="D47">
            <v>0</v>
          </cell>
          <cell r="E47">
            <v>362</v>
          </cell>
          <cell r="F47">
            <v>362</v>
          </cell>
          <cell r="H47">
            <v>6.7</v>
          </cell>
        </row>
        <row r="50">
          <cell r="D50"/>
          <cell r="E50">
            <v>20</v>
          </cell>
          <cell r="F50">
            <v>20</v>
          </cell>
          <cell r="H50">
            <v>12</v>
          </cell>
        </row>
        <row r="51">
          <cell r="D51"/>
          <cell r="E51">
            <v>28</v>
          </cell>
          <cell r="F51">
            <v>28</v>
          </cell>
          <cell r="H51">
            <v>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GridLines="0" tabSelected="1" workbookViewId="0">
      <selection activeCell="M3" sqref="M3"/>
    </sheetView>
  </sheetViews>
  <sheetFormatPr defaultColWidth="9.42578125" defaultRowHeight="12.75"/>
  <cols>
    <col min="1" max="1" width="20.42578125" style="6" customWidth="1"/>
    <col min="2" max="2" width="6.42578125" style="6" customWidth="1"/>
    <col min="3" max="3" width="10.5703125" style="6" customWidth="1"/>
    <col min="4" max="5" width="11" style="6" customWidth="1"/>
    <col min="6" max="7" width="5.5703125" style="6" customWidth="1"/>
    <col min="8" max="8" width="10.5703125" style="6" customWidth="1"/>
    <col min="9" max="9" width="11" style="6" customWidth="1"/>
    <col min="10" max="10" width="12.5703125" style="6" customWidth="1"/>
    <col min="11" max="12" width="5.5703125" style="6" customWidth="1"/>
    <col min="13" max="13" width="9.42578125" style="6" customWidth="1"/>
    <col min="14" max="14" width="7.5703125" style="6" customWidth="1"/>
    <col min="15" max="15" width="13" style="6" customWidth="1"/>
    <col min="16" max="17" width="9.42578125" style="6" customWidth="1"/>
    <col min="18" max="18" width="13.5703125" style="6" customWidth="1"/>
    <col min="19" max="22" width="9.42578125" style="6" customWidth="1"/>
    <col min="23" max="16384" width="9.42578125" style="6"/>
  </cols>
  <sheetData>
    <row r="1" spans="1:24" ht="12.75" customHeight="1">
      <c r="A1"/>
      <c r="B1" s="4" t="s">
        <v>17</v>
      </c>
      <c r="C1" s="5" t="str">
        <f>[1]Cover!$C$1</f>
        <v>OSBORN SCHOOL DISTRICT</v>
      </c>
      <c r="D1" s="5"/>
      <c r="F1"/>
      <c r="G1"/>
      <c r="H1"/>
      <c r="I1" s="4" t="s">
        <v>16</v>
      </c>
      <c r="J1" s="7" t="s">
        <v>151</v>
      </c>
      <c r="K1" s="8"/>
      <c r="L1" s="9"/>
      <c r="M1" s="10" t="s">
        <v>139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140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85" t="str">
        <f>IF(ISNUMBER(SEARCH("Revised*",K22)),M1,M2)</f>
        <v>This is a notification that the above mentioned School District will be having a public hearing and board meeting to adopt its Fiscal Year 2025 Expenditure Budget.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98">
        <v>45482</v>
      </c>
      <c r="D5" s="298"/>
      <c r="E5"/>
      <c r="F5"/>
      <c r="G5"/>
      <c r="H5" s="4" t="s">
        <v>3</v>
      </c>
      <c r="I5" s="299" t="s">
        <v>141</v>
      </c>
      <c r="J5" s="300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01" t="s">
        <v>15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297" t="s">
        <v>142</v>
      </c>
      <c r="D8" s="294"/>
      <c r="E8" s="294"/>
      <c r="F8" s="294"/>
      <c r="G8" s="294"/>
      <c r="H8" s="294"/>
      <c r="I8" s="294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94"/>
      <c r="D9" s="294"/>
      <c r="E9" s="4" t="s">
        <v>7</v>
      </c>
      <c r="F9" s="302" t="s">
        <v>143</v>
      </c>
      <c r="G9" s="303"/>
      <c r="H9" s="303"/>
      <c r="I9" s="303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295" t="s">
        <v>144</v>
      </c>
      <c r="D10" s="296"/>
      <c r="E10" s="4" t="s">
        <v>8</v>
      </c>
      <c r="F10" s="16" t="s">
        <v>0</v>
      </c>
      <c r="G10" s="13"/>
      <c r="H10" s="4" t="s">
        <v>9</v>
      </c>
      <c r="I10" s="1">
        <v>85013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308" t="s">
        <v>1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302" t="s">
        <v>145</v>
      </c>
      <c r="D13" s="303"/>
      <c r="H13" s="4" t="s">
        <v>12</v>
      </c>
      <c r="I13" s="302" t="s">
        <v>146</v>
      </c>
      <c r="J13" s="303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320" t="s">
        <v>147</v>
      </c>
      <c r="D14" s="305"/>
      <c r="E14"/>
      <c r="F14"/>
      <c r="G14"/>
      <c r="H14" s="4" t="s">
        <v>13</v>
      </c>
      <c r="I14" s="305"/>
      <c r="J14" s="305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88" t="s">
        <v>18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9" t="s">
        <v>14</v>
      </c>
      <c r="B18" s="289"/>
      <c r="C18" s="289"/>
      <c r="D18" s="289"/>
      <c r="E18" s="289"/>
      <c r="F18" s="289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0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2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93" t="str">
        <f>IF(ISNUMBER(SEARCH("Revised*",K22)),M27,M26)</f>
        <v xml:space="preserve"> SUMMARY OF SCHOOL DISTRICT PROPOSED EXPENDITURE BUDGET</v>
      </c>
      <c r="B21" s="293"/>
      <c r="C21" s="293"/>
      <c r="D21" s="293"/>
      <c r="E21" s="293"/>
      <c r="F21" s="293"/>
      <c r="G21" s="293"/>
      <c r="H21" s="293"/>
      <c r="I21"/>
      <c r="J21" s="20" t="s">
        <v>19</v>
      </c>
      <c r="K21" s="311" t="str">
        <f>J1</f>
        <v>070408000</v>
      </c>
      <c r="L21" s="311"/>
      <c r="M21" s="19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20</v>
      </c>
      <c r="K22" s="312" t="str">
        <f>[1]Cover!$C$8</f>
        <v>Adopted</v>
      </c>
      <c r="L22" s="312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21</v>
      </c>
      <c r="B23" s="309" t="s">
        <v>148</v>
      </c>
      <c r="C23" s="309"/>
      <c r="D23" s="309"/>
      <c r="E23" s="25" t="s">
        <v>22</v>
      </c>
      <c r="F23" s="304" t="s">
        <v>149</v>
      </c>
      <c r="G23" s="304"/>
      <c r="H23" s="26" t="s">
        <v>131</v>
      </c>
      <c r="I23" s="26"/>
      <c r="J23" s="26"/>
      <c r="K23" s="26"/>
      <c r="L23"/>
      <c r="M23" s="19" t="s">
        <v>132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proposed by the Governing Board on</v>
      </c>
      <c r="B24" s="27"/>
      <c r="C24" s="2" t="s">
        <v>150</v>
      </c>
      <c r="D24" s="27" t="str">
        <f>IF(ISNUMBER(SEARCH("Revised*",K22)),M23,M24)</f>
        <v>, 2024, and that the complete Proposed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133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 t="s">
        <v>145</v>
      </c>
      <c r="B25" s="310" t="s">
        <v>114</v>
      </c>
      <c r="C25" s="310"/>
      <c r="D25" s="310"/>
      <c r="E25" s="232" t="s">
        <v>146</v>
      </c>
      <c r="F25" s="232"/>
      <c r="G25" s="232"/>
      <c r="H25" s="286" t="s">
        <v>24</v>
      </c>
      <c r="I25" s="286"/>
      <c r="J25" s="286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87"/>
      <c r="F26" s="287"/>
      <c r="G26" s="287"/>
      <c r="H26" s="287"/>
      <c r="I26" s="28"/>
      <c r="J26" s="28"/>
      <c r="K26" s="28"/>
      <c r="L26"/>
      <c r="M26" s="30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313" t="s">
        <v>25</v>
      </c>
      <c r="F27" s="313"/>
      <c r="G27" s="313"/>
      <c r="H27" s="313"/>
      <c r="I27" s="28"/>
      <c r="J27" s="28"/>
      <c r="K27" s="28"/>
      <c r="L27"/>
      <c r="M27" s="30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26</v>
      </c>
      <c r="B29" s="33"/>
      <c r="C29" s="34"/>
      <c r="D29" s="35" t="s">
        <v>28</v>
      </c>
      <c r="E29" s="35" t="s">
        <v>29</v>
      </c>
      <c r="F29" s="36" t="s">
        <v>127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183" t="s">
        <v>136</v>
      </c>
      <c r="D30" s="183" t="s">
        <v>137</v>
      </c>
      <c r="E30" s="183" t="s">
        <v>138</v>
      </c>
      <c r="F30" s="182" t="s">
        <v>134</v>
      </c>
      <c r="G30" s="42"/>
      <c r="H30" s="43"/>
      <c r="I30" s="44"/>
      <c r="K30" s="314">
        <f>[1]!BudgetYearSalarySumm</f>
        <v>61375</v>
      </c>
      <c r="L30" s="315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306" t="s">
        <v>30</v>
      </c>
      <c r="B31" s="45"/>
      <c r="C31" s="46"/>
      <c r="D31" s="46"/>
      <c r="E31" s="47"/>
      <c r="F31" s="182" t="s">
        <v>135</v>
      </c>
      <c r="G31" s="42"/>
      <c r="H31" s="43"/>
      <c r="I31" s="44"/>
      <c r="K31" s="316">
        <f>[1]!PriorYearSalarySumm</f>
        <v>60193</v>
      </c>
      <c r="L31" s="317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307"/>
      <c r="B32" s="48"/>
      <c r="C32" s="49">
        <f>[1]!TwoPriorYearADM</f>
        <v>2271.5783999999999</v>
      </c>
      <c r="D32" s="49">
        <f>[1]!PriorYearADM</f>
        <v>2184.7761</v>
      </c>
      <c r="E32" s="50">
        <f>[1]!BudgetYearADM</f>
        <v>2424.9250000000002</v>
      </c>
      <c r="F32" s="51" t="s">
        <v>103</v>
      </c>
      <c r="G32" s="42"/>
      <c r="H32" s="43"/>
      <c r="I32" s="44"/>
      <c r="K32" s="318">
        <f>[1]!SalaryIncreaseSumm</f>
        <v>1182</v>
      </c>
      <c r="L32" s="319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2" t="s">
        <v>27</v>
      </c>
      <c r="B33" s="53"/>
      <c r="C33" s="53"/>
      <c r="D33" s="54" t="s">
        <v>39</v>
      </c>
      <c r="E33" s="54" t="s">
        <v>105</v>
      </c>
      <c r="F33" s="51" t="s">
        <v>104</v>
      </c>
      <c r="G33" s="42"/>
      <c r="H33" s="43"/>
      <c r="I33" s="44"/>
      <c r="K33" s="230">
        <f>[1]!PercentageIncreaseSumm</f>
        <v>0.02</v>
      </c>
      <c r="L33" s="231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60" t="s">
        <v>106</v>
      </c>
      <c r="B34" s="261"/>
      <c r="C34" s="262"/>
      <c r="D34" s="249">
        <f>[1]!PrimTaxRatePYSumm</f>
        <v>1.7962</v>
      </c>
      <c r="E34" s="263">
        <f>[1]!EstTaxRateBudgFYSumm</f>
        <v>1.7343</v>
      </c>
      <c r="F34" s="55"/>
      <c r="G34" s="55"/>
      <c r="H34" s="56"/>
      <c r="I34" s="56"/>
      <c r="J34" s="56"/>
      <c r="K34" s="56"/>
      <c r="L34" s="57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60"/>
      <c r="B35" s="261"/>
      <c r="C35" s="262"/>
      <c r="D35" s="250"/>
      <c r="E35" s="264"/>
      <c r="F35" s="275" t="str">
        <f>IF([1]!SalaryCommentsSumm="","",[1]!SalaryCommentsSumm)</f>
        <v xml:space="preserve">Comments on average salary calculation (Optional): All returning staff in the District (classified, certified and administrative) received a 2% increase for the 24/25sy. </v>
      </c>
      <c r="G35" s="276"/>
      <c r="H35" s="276"/>
      <c r="I35" s="276"/>
      <c r="J35" s="276"/>
      <c r="K35" s="276"/>
      <c r="L35" s="277"/>
      <c r="M35"/>
      <c r="N35"/>
      <c r="O35"/>
      <c r="P35"/>
      <c r="Q35" s="58"/>
      <c r="R35" s="59"/>
      <c r="S35" s="58"/>
      <c r="T35" s="59"/>
      <c r="U35" s="59"/>
      <c r="V35"/>
      <c r="W35"/>
      <c r="X35"/>
    </row>
    <row r="36" spans="1:24" ht="9.75" customHeight="1">
      <c r="A36" s="260"/>
      <c r="B36" s="261"/>
      <c r="C36" s="262"/>
      <c r="D36" s="251"/>
      <c r="E36" s="265"/>
      <c r="F36" s="278"/>
      <c r="G36" s="279"/>
      <c r="H36" s="279"/>
      <c r="I36" s="279"/>
      <c r="J36" s="279"/>
      <c r="K36" s="279"/>
      <c r="L36" s="280"/>
      <c r="M36"/>
      <c r="N36"/>
      <c r="O36"/>
      <c r="P36"/>
      <c r="Q36" s="60"/>
      <c r="R36" s="61"/>
      <c r="S36" s="62"/>
      <c r="T36" s="62"/>
      <c r="U36" s="59"/>
      <c r="V36"/>
      <c r="W36"/>
      <c r="X36"/>
    </row>
    <row r="37" spans="1:24" ht="12" customHeight="1">
      <c r="A37" s="269" t="s">
        <v>115</v>
      </c>
      <c r="B37" s="270"/>
      <c r="C37" s="271"/>
      <c r="D37" s="266">
        <f>[1]!SecTaxRatePYSumm</f>
        <v>1.9393</v>
      </c>
      <c r="E37" s="267">
        <f>[1]!SecTaxRateBudgFYSumm</f>
        <v>2.1543000000000001</v>
      </c>
      <c r="F37" s="278"/>
      <c r="G37" s="279"/>
      <c r="H37" s="279"/>
      <c r="I37" s="279"/>
      <c r="J37" s="279"/>
      <c r="K37" s="279"/>
      <c r="L37" s="280"/>
      <c r="M37"/>
      <c r="N37"/>
      <c r="O37"/>
      <c r="P37"/>
      <c r="Q37" s="60"/>
      <c r="R37" s="43"/>
      <c r="S37" s="44"/>
      <c r="U37" s="63"/>
      <c r="V37"/>
      <c r="W37"/>
      <c r="X37"/>
    </row>
    <row r="38" spans="1:24" ht="11.25" customHeight="1">
      <c r="A38" s="269"/>
      <c r="B38" s="270"/>
      <c r="C38" s="271"/>
      <c r="D38" s="250"/>
      <c r="E38" s="264"/>
      <c r="F38" s="278"/>
      <c r="G38" s="279"/>
      <c r="H38" s="279"/>
      <c r="I38" s="279"/>
      <c r="J38" s="279"/>
      <c r="K38" s="279"/>
      <c r="L38" s="280"/>
      <c r="M38"/>
      <c r="N38"/>
      <c r="O38"/>
      <c r="P38"/>
      <c r="Q38" s="60"/>
      <c r="R38" s="43"/>
      <c r="S38" s="44"/>
      <c r="U38" s="63"/>
      <c r="V38"/>
      <c r="W38"/>
      <c r="X38"/>
    </row>
    <row r="39" spans="1:24" ht="10.5" customHeight="1">
      <c r="A39" s="272"/>
      <c r="B39" s="273"/>
      <c r="C39" s="274"/>
      <c r="D39" s="251"/>
      <c r="E39" s="268"/>
      <c r="F39" s="278"/>
      <c r="G39" s="279"/>
      <c r="H39" s="279"/>
      <c r="I39" s="279"/>
      <c r="J39" s="279"/>
      <c r="K39" s="279"/>
      <c r="L39" s="280"/>
      <c r="M39"/>
      <c r="N39"/>
      <c r="O39"/>
      <c r="P39"/>
      <c r="Q39" s="60"/>
      <c r="R39" s="43"/>
      <c r="S39" s="44"/>
      <c r="U39" s="63"/>
      <c r="V39"/>
      <c r="W39"/>
      <c r="X39"/>
    </row>
    <row r="40" spans="1:24">
      <c r="A40" s="64" t="s">
        <v>112</v>
      </c>
      <c r="B40" s="65"/>
      <c r="C40" s="31"/>
      <c r="D40" s="66" t="s">
        <v>110</v>
      </c>
      <c r="E40" s="67"/>
      <c r="F40" s="278"/>
      <c r="G40" s="279"/>
      <c r="H40" s="279"/>
      <c r="I40" s="279"/>
      <c r="J40" s="279"/>
      <c r="K40" s="279"/>
      <c r="L40" s="280"/>
      <c r="M40"/>
      <c r="N40"/>
      <c r="O40"/>
      <c r="P40"/>
      <c r="Q40" s="60"/>
      <c r="R40" s="43"/>
      <c r="S40" s="44"/>
      <c r="U40" s="68"/>
      <c r="V40"/>
      <c r="W40"/>
      <c r="X40"/>
    </row>
    <row r="41" spans="1:24" ht="11.25" customHeight="1">
      <c r="A41" s="69"/>
      <c r="B41"/>
      <c r="C41" s="31"/>
      <c r="D41" s="25" t="s">
        <v>111</v>
      </c>
      <c r="E41" s="70" t="s">
        <v>118</v>
      </c>
      <c r="F41" s="278"/>
      <c r="G41" s="279"/>
      <c r="H41" s="279"/>
      <c r="I41" s="279"/>
      <c r="J41" s="279"/>
      <c r="K41" s="279"/>
      <c r="L41" s="280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1" t="s">
        <v>107</v>
      </c>
      <c r="B42" s="65"/>
      <c r="D42" s="72">
        <f>[1]!F001TotalExpSumm</f>
        <v>23978605</v>
      </c>
      <c r="E42" s="73">
        <f>[1]!GBLBudgFYSumm</f>
        <v>23978605</v>
      </c>
      <c r="F42" s="278"/>
      <c r="G42" s="279"/>
      <c r="H42" s="279"/>
      <c r="I42" s="279"/>
      <c r="J42" s="279"/>
      <c r="K42" s="279"/>
      <c r="L42" s="280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1" t="s">
        <v>108</v>
      </c>
      <c r="B43" s="65"/>
      <c r="D43" s="74">
        <f>[1]!CSFExpBudgFYSumm</f>
        <v>4925816</v>
      </c>
      <c r="E43" s="75">
        <f>[1]!CSFBLBudgFYSumm</f>
        <v>4925816</v>
      </c>
      <c r="F43" s="278"/>
      <c r="G43" s="279"/>
      <c r="H43" s="279"/>
      <c r="I43" s="279"/>
      <c r="J43" s="279"/>
      <c r="K43" s="279"/>
      <c r="L43" s="280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6" t="s">
        <v>109</v>
      </c>
      <c r="B44" s="77"/>
      <c r="C44" s="78"/>
      <c r="D44" s="79">
        <f>[1]!UCOBudgFYSumm</f>
        <v>5784383</v>
      </c>
      <c r="E44" s="80">
        <f>[1]!UCBLBudgFYSumm</f>
        <v>5784383</v>
      </c>
      <c r="F44" s="281"/>
      <c r="G44" s="282"/>
      <c r="H44" s="282"/>
      <c r="I44" s="282"/>
      <c r="J44" s="282"/>
      <c r="K44" s="282"/>
      <c r="L44" s="283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1"/>
      <c r="D45" s="255"/>
      <c r="E45" s="255"/>
      <c r="F45" s="255"/>
      <c r="G45" s="255"/>
      <c r="H45" s="255"/>
      <c r="I45" s="255"/>
      <c r="J45" s="255"/>
      <c r="K45" s="255"/>
      <c r="L45" s="256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2"/>
      <c r="B46" s="82"/>
      <c r="C46" s="82"/>
      <c r="D46" s="257"/>
      <c r="E46" s="257"/>
      <c r="F46" s="257"/>
      <c r="G46" s="257"/>
      <c r="H46" s="257"/>
      <c r="I46" s="257"/>
      <c r="J46" s="257"/>
      <c r="K46" s="257"/>
      <c r="L46" s="258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3" t="s">
        <v>32</v>
      </c>
      <c r="B47" s="84"/>
      <c r="C47" s="85"/>
      <c r="D47" s="85"/>
      <c r="E47" s="86"/>
      <c r="F47" s="86"/>
      <c r="G47" s="86"/>
      <c r="H47" s="86"/>
      <c r="I47" s="86"/>
      <c r="J47" s="86"/>
      <c r="K47" s="86"/>
      <c r="L47" s="87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8"/>
      <c r="B48" s="31"/>
      <c r="C48" s="89"/>
      <c r="D48" s="52"/>
      <c r="E48" s="90"/>
      <c r="F48" s="28"/>
      <c r="G48" s="28"/>
      <c r="H48" s="91"/>
      <c r="I48" s="92" t="s">
        <v>33</v>
      </c>
      <c r="J48" s="91"/>
      <c r="K48" s="234" t="s">
        <v>34</v>
      </c>
      <c r="L48" s="235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8"/>
      <c r="B49" s="31"/>
      <c r="C49" s="31"/>
      <c r="D49" s="94" t="s">
        <v>35</v>
      </c>
      <c r="E49" s="95"/>
      <c r="F49" s="96" t="s">
        <v>36</v>
      </c>
      <c r="G49" s="97"/>
      <c r="H49" s="95"/>
      <c r="I49" s="94" t="s">
        <v>37</v>
      </c>
      <c r="J49" s="95"/>
      <c r="K49" s="202" t="s">
        <v>38</v>
      </c>
      <c r="L49" s="236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8"/>
      <c r="B50" s="31"/>
      <c r="C50" s="31"/>
      <c r="D50" s="99" t="s">
        <v>39</v>
      </c>
      <c r="E50" s="99" t="s">
        <v>31</v>
      </c>
      <c r="F50" s="234" t="s">
        <v>39</v>
      </c>
      <c r="G50" s="240"/>
      <c r="H50" s="99" t="s">
        <v>31</v>
      </c>
      <c r="I50" s="99" t="s">
        <v>39</v>
      </c>
      <c r="J50" s="99" t="s">
        <v>31</v>
      </c>
      <c r="K50" s="202" t="s">
        <v>39</v>
      </c>
      <c r="L50" s="236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8"/>
      <c r="B51" s="31"/>
      <c r="C51" s="31"/>
      <c r="D51" s="100"/>
      <c r="E51" s="100"/>
      <c r="F51" s="241"/>
      <c r="G51" s="242"/>
      <c r="H51" s="100"/>
      <c r="I51" s="100"/>
      <c r="J51" s="100"/>
      <c r="K51" s="204"/>
      <c r="L51" s="237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3" t="s">
        <v>40</v>
      </c>
      <c r="B52" s="104"/>
      <c r="C52" s="31"/>
      <c r="D52" s="220">
        <f>'[1]Summary Page 1'!$C$33</f>
        <v>9532591</v>
      </c>
      <c r="E52" s="220">
        <f>[1]!F001P100F1000SBBudgFY</f>
        <v>9768041</v>
      </c>
      <c r="F52" s="243">
        <f>'[1]Summary Page 1'!$E$33</f>
        <v>262144</v>
      </c>
      <c r="G52" s="244"/>
      <c r="H52" s="220">
        <f>[1]!F001P100F1000OthBudgFY</f>
        <v>262144</v>
      </c>
      <c r="I52" s="228">
        <f>D52+F52</f>
        <v>9794735</v>
      </c>
      <c r="J52" s="220">
        <f>E52+H52</f>
        <v>10030185</v>
      </c>
      <c r="K52" s="224">
        <f>IF(I52=J52,0,IF(I52&gt;0,(J52-I52)/I52,"--"))</f>
        <v>2.4038424725120178E-2</v>
      </c>
      <c r="L52" s="238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3" t="s">
        <v>41</v>
      </c>
      <c r="B53" s="104"/>
      <c r="C53" s="31"/>
      <c r="D53" s="259"/>
      <c r="E53" s="259"/>
      <c r="F53" s="245"/>
      <c r="G53" s="246"/>
      <c r="H53" s="247"/>
      <c r="I53" s="248"/>
      <c r="J53" s="247"/>
      <c r="K53" s="226"/>
      <c r="L53" s="239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3" t="s">
        <v>42</v>
      </c>
      <c r="B54" s="104"/>
      <c r="C54" s="31"/>
      <c r="D54" s="220">
        <f>'[1]Summary Page 1'!$C$35</f>
        <v>479300</v>
      </c>
      <c r="E54" s="220">
        <f>[1]!F001P100F2100SBBudgFY</f>
        <v>491809</v>
      </c>
      <c r="F54" s="243">
        <f>'[1]Summary Page 1'!$E$35</f>
        <v>15000</v>
      </c>
      <c r="G54" s="244"/>
      <c r="H54" s="220">
        <f>[1]!F001P100F2100OthBudgFY</f>
        <v>36569</v>
      </c>
      <c r="I54" s="228">
        <f>D54+F54</f>
        <v>494300</v>
      </c>
      <c r="J54" s="220">
        <f>E54+H54</f>
        <v>528378</v>
      </c>
      <c r="K54" s="224">
        <f>IF(I54=J54,0,IF(I54&gt;0,(J54-I54)/I54,"--"))</f>
        <v>6.8941938094274735E-2</v>
      </c>
      <c r="L54" s="238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3" t="s">
        <v>43</v>
      </c>
      <c r="B55" s="104"/>
      <c r="C55" s="65"/>
      <c r="D55" s="259"/>
      <c r="E55" s="284"/>
      <c r="F55" s="245"/>
      <c r="G55" s="246"/>
      <c r="H55" s="247"/>
      <c r="I55" s="248"/>
      <c r="J55" s="247"/>
      <c r="K55" s="226"/>
      <c r="L55" s="239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5" t="s">
        <v>44</v>
      </c>
      <c r="B56" s="106"/>
      <c r="C56" s="31"/>
      <c r="D56" s="113">
        <f>'[1]Summary Page 1'!$C$36</f>
        <v>589402</v>
      </c>
      <c r="E56" s="111">
        <f>[1]!F001P100F2200SBBudgFY</f>
        <v>604812</v>
      </c>
      <c r="F56" s="212">
        <f>'[1]Summary Page 1'!$E$36</f>
        <v>23500</v>
      </c>
      <c r="G56" s="213"/>
      <c r="H56" s="108">
        <f>[1]!F001P100F2200OthBudgFY</f>
        <v>23500</v>
      </c>
      <c r="I56" s="107">
        <f t="shared" ref="I56:I63" si="0">D56+F56</f>
        <v>612902</v>
      </c>
      <c r="J56" s="108">
        <f t="shared" ref="J56:J63" si="1">E56+H56</f>
        <v>628312</v>
      </c>
      <c r="K56" s="200">
        <f t="shared" ref="K56:K65" si="2">IF(I56=J56,0,IF(I56&gt;0,(J56-I56)/I56,"--"))</f>
        <v>2.5142681864311098E-2</v>
      </c>
      <c r="L56" s="233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5" t="s">
        <v>45</v>
      </c>
      <c r="B57" s="106"/>
      <c r="C57" s="110"/>
      <c r="D57" s="113">
        <f>'[1]Summary Page 1'!$C$37</f>
        <v>2080713</v>
      </c>
      <c r="E57" s="111">
        <f>[1]!F001P100F230024002500SBBudgFY</f>
        <v>2131647</v>
      </c>
      <c r="F57" s="212">
        <f>'[1]Summary Page 1'!$E$37</f>
        <v>303500</v>
      </c>
      <c r="G57" s="213"/>
      <c r="H57" s="108">
        <f>[1]!F001P100F230024002500OthBudgFY</f>
        <v>306000</v>
      </c>
      <c r="I57" s="107">
        <f t="shared" si="0"/>
        <v>2384213</v>
      </c>
      <c r="J57" s="108">
        <f t="shared" si="1"/>
        <v>2437647</v>
      </c>
      <c r="K57" s="200">
        <f t="shared" si="2"/>
        <v>2.2411588226387492E-2</v>
      </c>
      <c r="L57" s="233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5" t="s">
        <v>46</v>
      </c>
      <c r="B58" s="106"/>
      <c r="C58" s="60"/>
      <c r="D58" s="113">
        <f>'[1]Summary Page 1'!$C$38</f>
        <v>1100426</v>
      </c>
      <c r="E58" s="111">
        <f>[1]!F001P100F2600SBBudgFY</f>
        <v>1126443</v>
      </c>
      <c r="F58" s="212">
        <f>'[1]Summary Page 1'!$E$38</f>
        <v>1395000</v>
      </c>
      <c r="G58" s="213"/>
      <c r="H58" s="107">
        <f>[1]!F001P100F2600OthBudgFY</f>
        <v>1520000</v>
      </c>
      <c r="I58" s="107">
        <f t="shared" si="0"/>
        <v>2495426</v>
      </c>
      <c r="J58" s="108">
        <f t="shared" si="1"/>
        <v>2646443</v>
      </c>
      <c r="K58" s="200">
        <f t="shared" si="2"/>
        <v>6.0517522859824334E-2</v>
      </c>
      <c r="L58" s="233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3" t="s">
        <v>47</v>
      </c>
      <c r="B59" s="104"/>
      <c r="C59" s="31"/>
      <c r="D59" s="113">
        <f>'[1]Summary Page 1'!$C$39</f>
        <v>0</v>
      </c>
      <c r="E59" s="111">
        <f>[1]!F001P100F2900SBBudgFY</f>
        <v>0</v>
      </c>
      <c r="F59" s="212">
        <f>'[1]Summary Page 1'!$E$39</f>
        <v>0</v>
      </c>
      <c r="G59" s="213"/>
      <c r="H59" s="107">
        <f>[1]!F001P100F2900OthBudgFY</f>
        <v>0</v>
      </c>
      <c r="I59" s="107">
        <f t="shared" si="0"/>
        <v>0</v>
      </c>
      <c r="J59" s="108">
        <f t="shared" si="1"/>
        <v>0</v>
      </c>
      <c r="K59" s="200">
        <f t="shared" si="2"/>
        <v>0</v>
      </c>
      <c r="L59" s="233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3" t="s">
        <v>48</v>
      </c>
      <c r="B60" s="104"/>
      <c r="C60" s="31"/>
      <c r="D60" s="113">
        <f>'[1]Summary Page 1'!$C$40</f>
        <v>0</v>
      </c>
      <c r="E60" s="111">
        <f>[1]!F001P100F3000SBBudgFY</f>
        <v>0</v>
      </c>
      <c r="F60" s="212">
        <f>'[1]Summary Page 1'!$E$40</f>
        <v>75000</v>
      </c>
      <c r="G60" s="213"/>
      <c r="H60" s="107">
        <f>[1]!F001P100F3000OthBudgFY</f>
        <v>75000</v>
      </c>
      <c r="I60" s="107">
        <f t="shared" si="0"/>
        <v>75000</v>
      </c>
      <c r="J60" s="108">
        <f t="shared" si="1"/>
        <v>75000</v>
      </c>
      <c r="K60" s="200">
        <f t="shared" si="2"/>
        <v>0</v>
      </c>
      <c r="L60" s="233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8" t="s">
        <v>49</v>
      </c>
      <c r="B61" s="31"/>
      <c r="C61" s="31"/>
      <c r="D61" s="113">
        <f>'[1]Summary Page 1'!$C$41</f>
        <v>0</v>
      </c>
      <c r="E61" s="111">
        <f>[1]!F001P610SBBudgFY</f>
        <v>0</v>
      </c>
      <c r="F61" s="212">
        <f>'[1]Summary Page 1'!$E$41</f>
        <v>0</v>
      </c>
      <c r="G61" s="213"/>
      <c r="H61" s="107">
        <f>[1]!F001P610OthBudgFY</f>
        <v>0</v>
      </c>
      <c r="I61" s="107">
        <f t="shared" si="0"/>
        <v>0</v>
      </c>
      <c r="J61" s="108">
        <f t="shared" si="1"/>
        <v>0</v>
      </c>
      <c r="K61" s="200">
        <f t="shared" si="2"/>
        <v>0</v>
      </c>
      <c r="L61" s="201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8" t="s">
        <v>50</v>
      </c>
      <c r="B62" s="31"/>
      <c r="C62" s="31"/>
      <c r="D62" s="113">
        <f>'[1]Summary Page 1'!$C$42</f>
        <v>15500</v>
      </c>
      <c r="E62" s="111">
        <f>[1]!F001P620SBBudgFY</f>
        <v>15500</v>
      </c>
      <c r="F62" s="212">
        <f>'[1]Summary Page 1'!$E$42</f>
        <v>6100</v>
      </c>
      <c r="G62" s="213"/>
      <c r="H62" s="107">
        <f>[1]!F001P620OthBudgFY</f>
        <v>6100</v>
      </c>
      <c r="I62" s="107">
        <f t="shared" si="0"/>
        <v>21600</v>
      </c>
      <c r="J62" s="108">
        <f t="shared" si="1"/>
        <v>21600</v>
      </c>
      <c r="K62" s="200">
        <f t="shared" si="2"/>
        <v>0</v>
      </c>
      <c r="L62" s="201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8" t="s">
        <v>51</v>
      </c>
      <c r="B63" s="31"/>
      <c r="C63" s="31"/>
      <c r="D63" s="113">
        <f>'[1]Summary Page 1'!$C$43</f>
        <v>0</v>
      </c>
      <c r="E63" s="111">
        <f>[1]!F001P630700800900SBBudgFY</f>
        <v>0</v>
      </c>
      <c r="F63" s="212">
        <f>'[1]Summary Page 1'!$E$43</f>
        <v>0</v>
      </c>
      <c r="G63" s="213"/>
      <c r="H63" s="113">
        <f>[1]!F001P630700800900OthBudgFY</f>
        <v>0</v>
      </c>
      <c r="I63" s="113">
        <f t="shared" si="0"/>
        <v>0</v>
      </c>
      <c r="J63" s="111">
        <f t="shared" si="1"/>
        <v>0</v>
      </c>
      <c r="K63" s="200">
        <f t="shared" si="2"/>
        <v>0</v>
      </c>
      <c r="L63" s="201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4" t="s">
        <v>52</v>
      </c>
      <c r="B64" s="115"/>
      <c r="C64" s="89"/>
      <c r="D64" s="111">
        <f t="shared" ref="D64" si="3">SUM(D52:D63)</f>
        <v>13797932</v>
      </c>
      <c r="E64" s="111">
        <f t="shared" ref="E64:J64" si="4">SUM(E52:E63)</f>
        <v>14138252</v>
      </c>
      <c r="F64" s="212">
        <f t="shared" si="4"/>
        <v>2080244</v>
      </c>
      <c r="G64" s="213"/>
      <c r="H64" s="108">
        <f>SUM(H52:H63)</f>
        <v>2229313</v>
      </c>
      <c r="I64" s="108">
        <f t="shared" si="4"/>
        <v>15878176</v>
      </c>
      <c r="J64" s="108">
        <f t="shared" si="4"/>
        <v>16367565</v>
      </c>
      <c r="K64" s="200">
        <f t="shared" si="2"/>
        <v>3.0821487304335208E-2</v>
      </c>
      <c r="L64" s="201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3" t="s">
        <v>53</v>
      </c>
      <c r="B65" s="104"/>
      <c r="C65" s="31"/>
      <c r="D65" s="220">
        <f>'[1]Summary Page 1'!$C$46</f>
        <v>3768589</v>
      </c>
      <c r="E65" s="220">
        <f>[1]!F001P200F1000SBBudgFY</f>
        <v>3865321</v>
      </c>
      <c r="F65" s="243">
        <f>'[1]Summary Page 1'!$E$46</f>
        <v>269433</v>
      </c>
      <c r="G65" s="244"/>
      <c r="H65" s="220">
        <f>[1]!F001P200F1000OthBudgFY</f>
        <v>269433</v>
      </c>
      <c r="I65" s="228">
        <f>D65+F65</f>
        <v>4038022</v>
      </c>
      <c r="J65" s="220">
        <f>E65+H65</f>
        <v>4134754</v>
      </c>
      <c r="K65" s="224">
        <f t="shared" si="2"/>
        <v>2.3955292962742649E-2</v>
      </c>
      <c r="L65" s="225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3" t="s">
        <v>41</v>
      </c>
      <c r="B66" s="104"/>
      <c r="C66" s="31"/>
      <c r="D66" s="259"/>
      <c r="E66" s="284"/>
      <c r="F66" s="245"/>
      <c r="G66" s="246"/>
      <c r="H66" s="247"/>
      <c r="I66" s="248"/>
      <c r="J66" s="247"/>
      <c r="K66" s="226"/>
      <c r="L66" s="227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3" t="s">
        <v>42</v>
      </c>
      <c r="B67" s="104"/>
      <c r="C67" s="31"/>
      <c r="D67" s="220">
        <f>'[1]Summary Page 1'!$C$48</f>
        <v>1230635</v>
      </c>
      <c r="E67" s="220">
        <f>[1]!F001P200F2100SBBudgFY</f>
        <v>1260946</v>
      </c>
      <c r="F67" s="243">
        <f>'[1]Summary Page 1'!$E$48</f>
        <v>209492</v>
      </c>
      <c r="G67" s="244"/>
      <c r="H67" s="220">
        <f>[1]!F001P200F2100OthBudgFY</f>
        <v>459000</v>
      </c>
      <c r="I67" s="228">
        <f>D67+F67</f>
        <v>1440127</v>
      </c>
      <c r="J67" s="220">
        <f>E67+H67</f>
        <v>1719946</v>
      </c>
      <c r="K67" s="224">
        <f>IF(I67=J67,0,IF(I67&gt;0,(J67-I67)/I67,"--"))</f>
        <v>0.19430161367712709</v>
      </c>
      <c r="L67" s="225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3" t="s">
        <v>43</v>
      </c>
      <c r="B68" s="104"/>
      <c r="C68" s="65"/>
      <c r="D68" s="259"/>
      <c r="E68" s="284"/>
      <c r="F68" s="245"/>
      <c r="G68" s="246"/>
      <c r="H68" s="247"/>
      <c r="I68" s="247"/>
      <c r="J68" s="247"/>
      <c r="K68" s="226"/>
      <c r="L68" s="227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5" t="s">
        <v>44</v>
      </c>
      <c r="B69" s="106"/>
      <c r="C69" s="31"/>
      <c r="D69" s="113">
        <f>'[1]Summary Page 1'!$C$49</f>
        <v>246348</v>
      </c>
      <c r="E69" s="113">
        <f>[1]!F001P200F2200SBBudgFY</f>
        <v>252422</v>
      </c>
      <c r="F69" s="212">
        <f>'[1]Summary Page 1'!$E$49</f>
        <v>7000</v>
      </c>
      <c r="G69" s="213"/>
      <c r="H69" s="108">
        <f>[1]!F001P200F2200OthBudgFY</f>
        <v>7000</v>
      </c>
      <c r="I69" s="107">
        <f>D69+F69</f>
        <v>253348</v>
      </c>
      <c r="J69" s="108">
        <f>E69+H69</f>
        <v>259422</v>
      </c>
      <c r="K69" s="200">
        <f t="shared" ref="K69:K78" si="5">IF(I69=J69,0,IF(I69&gt;0,(J69-I69)/I69,"--"))</f>
        <v>2.3974927767339786E-2</v>
      </c>
      <c r="L69" s="201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5" t="s">
        <v>45</v>
      </c>
      <c r="B70" s="106"/>
      <c r="C70" s="110"/>
      <c r="D70" s="113">
        <f>'[1]Summary Page 1'!$C$50</f>
        <v>0</v>
      </c>
      <c r="E70" s="113">
        <f>[1]!F001P200F230024002500SBBudgFY</f>
        <v>0</v>
      </c>
      <c r="F70" s="212">
        <f>'[1]Summary Page 1'!$E$50</f>
        <v>2500</v>
      </c>
      <c r="G70" s="213"/>
      <c r="H70" s="107">
        <f>[1]!F001P200F230024002500OthBudgFY</f>
        <v>2500</v>
      </c>
      <c r="I70" s="107">
        <f>D70+F70</f>
        <v>2500</v>
      </c>
      <c r="J70" s="108">
        <f>E70+H70</f>
        <v>2500</v>
      </c>
      <c r="K70" s="200">
        <f t="shared" si="5"/>
        <v>0</v>
      </c>
      <c r="L70" s="201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5" t="s">
        <v>46</v>
      </c>
      <c r="B71" s="106"/>
      <c r="C71" s="60"/>
      <c r="D71" s="113">
        <f>'[1]Summary Page 1'!$C$51</f>
        <v>0</v>
      </c>
      <c r="E71" s="113">
        <f>[1]!F001P200F2600SBBudgFY</f>
        <v>0</v>
      </c>
      <c r="F71" s="212">
        <f>'[1]Summary Page 1'!$E$51</f>
        <v>500</v>
      </c>
      <c r="G71" s="213"/>
      <c r="H71" s="107">
        <f>[1]!F001P200F2600OthBudgFY</f>
        <v>500</v>
      </c>
      <c r="I71" s="107">
        <f>D71+F71</f>
        <v>500</v>
      </c>
      <c r="J71" s="108">
        <f>E71+H71</f>
        <v>500</v>
      </c>
      <c r="K71" s="200">
        <f t="shared" si="5"/>
        <v>0</v>
      </c>
      <c r="L71" s="20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3" t="s">
        <v>47</v>
      </c>
      <c r="B72" s="104"/>
      <c r="C72" s="31"/>
      <c r="D72" s="113">
        <f>'[1]Summary Page 1'!$C$52</f>
        <v>0</v>
      </c>
      <c r="E72" s="113">
        <f>[1]!F001P200F2900SBBudgFY</f>
        <v>0</v>
      </c>
      <c r="F72" s="212">
        <f>'[1]Summary Page 1'!$E$52</f>
        <v>0</v>
      </c>
      <c r="G72" s="213"/>
      <c r="H72" s="107">
        <f>[1]!F001P200F2900OthBudgFY</f>
        <v>0</v>
      </c>
      <c r="I72" s="107">
        <f>D72+F72</f>
        <v>0</v>
      </c>
      <c r="J72" s="108">
        <f>E72+H72</f>
        <v>0</v>
      </c>
      <c r="K72" s="200">
        <f t="shared" si="5"/>
        <v>0</v>
      </c>
      <c r="L72" s="201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3" t="s">
        <v>48</v>
      </c>
      <c r="B73" s="104"/>
      <c r="C73" s="31"/>
      <c r="D73" s="113">
        <f>'[1]Summary Page 1'!$C$53</f>
        <v>0</v>
      </c>
      <c r="E73" s="113">
        <f>[1]!F001P200F3000SBBudgFY</f>
        <v>0</v>
      </c>
      <c r="F73" s="212">
        <f>'[1]Summary Page 1'!$E$53</f>
        <v>0</v>
      </c>
      <c r="G73" s="213"/>
      <c r="H73" s="107">
        <f>[1]!F001P200F3000OthBudgFY</f>
        <v>0</v>
      </c>
      <c r="I73" s="107">
        <f>D73+F73</f>
        <v>0</v>
      </c>
      <c r="J73" s="108">
        <f>E73+H73</f>
        <v>0</v>
      </c>
      <c r="K73" s="200">
        <f t="shared" si="5"/>
        <v>0</v>
      </c>
      <c r="L73" s="201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4" t="s">
        <v>54</v>
      </c>
      <c r="B74" s="115"/>
      <c r="C74" s="31"/>
      <c r="D74" s="120">
        <f t="shared" ref="D74" si="6">SUM(D65:D73)</f>
        <v>5245572</v>
      </c>
      <c r="E74" s="120">
        <f t="shared" ref="E74:J74" si="7">SUM(E65:E73)</f>
        <v>5378689</v>
      </c>
      <c r="F74" s="214">
        <f t="shared" si="7"/>
        <v>488925</v>
      </c>
      <c r="G74" s="215"/>
      <c r="H74" s="116">
        <f t="shared" si="7"/>
        <v>738433</v>
      </c>
      <c r="I74" s="107">
        <f t="shared" si="7"/>
        <v>5734497</v>
      </c>
      <c r="J74" s="107">
        <f t="shared" si="7"/>
        <v>6117122</v>
      </c>
      <c r="K74" s="200">
        <f t="shared" si="5"/>
        <v>6.6723376086865155E-2</v>
      </c>
      <c r="L74" s="201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7" t="s">
        <v>55</v>
      </c>
      <c r="B75" s="118"/>
      <c r="C75" s="118"/>
      <c r="D75" s="113">
        <f>'[1]Summary Page 1'!$C$55</f>
        <v>1159412</v>
      </c>
      <c r="E75" s="120">
        <f>[1]!F001P400SBBudgFY</f>
        <v>1188251</v>
      </c>
      <c r="F75" s="212">
        <f>'[1]Summary Page 1'!$E$55</f>
        <v>110000</v>
      </c>
      <c r="G75" s="213"/>
      <c r="H75" s="116">
        <f>[1]!F001P400OthBudgFy</f>
        <v>110000</v>
      </c>
      <c r="I75" s="107">
        <f>D75+F75</f>
        <v>1269412</v>
      </c>
      <c r="J75" s="108">
        <f>E75+H75</f>
        <v>1298251</v>
      </c>
      <c r="K75" s="200">
        <f t="shared" si="5"/>
        <v>2.2718392452568591E-2</v>
      </c>
      <c r="L75" s="201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9" t="s">
        <v>56</v>
      </c>
      <c r="B76" s="26"/>
      <c r="C76" s="26"/>
      <c r="D76" s="113">
        <f>'[1]Summary Page 1'!$C$56</f>
        <v>0</v>
      </c>
      <c r="E76" s="120">
        <f>[1]!F001P510SBBudgFY</f>
        <v>0</v>
      </c>
      <c r="F76" s="212">
        <f>'[1]Summary Page 1'!$E$56</f>
        <v>0</v>
      </c>
      <c r="G76" s="213"/>
      <c r="H76" s="120">
        <f>[1]!F001P510OthBudgFY</f>
        <v>0</v>
      </c>
      <c r="I76" s="113">
        <f>D76+F76</f>
        <v>0</v>
      </c>
      <c r="J76" s="111">
        <f>E76+H76</f>
        <v>0</v>
      </c>
      <c r="K76" s="216">
        <f t="shared" si="5"/>
        <v>0</v>
      </c>
      <c r="L76" s="217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7" t="s">
        <v>57</v>
      </c>
      <c r="B77" s="118"/>
      <c r="C77" s="118"/>
      <c r="D77" s="113">
        <f>'[1]Summary Page 1'!$C$57</f>
        <v>0</v>
      </c>
      <c r="E77" s="120">
        <f>[1]!F001P530SBBudgFY</f>
        <v>0</v>
      </c>
      <c r="F77" s="212">
        <f>'[1]Summary Page 1'!$E$57</f>
        <v>0</v>
      </c>
      <c r="G77" s="213"/>
      <c r="H77" s="116">
        <f>[1]!F001P530OthBudgFY</f>
        <v>0</v>
      </c>
      <c r="I77" s="107">
        <f>D77+F77</f>
        <v>0</v>
      </c>
      <c r="J77" s="108">
        <f>E77+H77</f>
        <v>0</v>
      </c>
      <c r="K77" s="200">
        <f t="shared" si="5"/>
        <v>0</v>
      </c>
      <c r="L77" s="201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7" t="s">
        <v>58</v>
      </c>
      <c r="B78" s="118"/>
      <c r="C78" s="121"/>
      <c r="D78" s="220">
        <f>'[1]Summary Page 1'!$C$59</f>
        <v>0</v>
      </c>
      <c r="E78" s="222">
        <f>[1]!F001P540SBBudgFY</f>
        <v>0</v>
      </c>
      <c r="F78" s="243">
        <f>'[1]Summary Page 1'!$E$559</f>
        <v>0</v>
      </c>
      <c r="G78" s="244"/>
      <c r="H78" s="222">
        <f>[1]!F001P540OthBudgFY</f>
        <v>0</v>
      </c>
      <c r="I78" s="228">
        <f>D78+F78</f>
        <v>0</v>
      </c>
      <c r="J78" s="228">
        <f>E78+H78</f>
        <v>0</v>
      </c>
      <c r="K78" s="224">
        <f t="shared" si="5"/>
        <v>0</v>
      </c>
      <c r="L78" s="225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7" t="s">
        <v>59</v>
      </c>
      <c r="B79" s="118"/>
      <c r="C79" s="121"/>
      <c r="D79" s="221"/>
      <c r="E79" s="223"/>
      <c r="F79" s="245"/>
      <c r="G79" s="246"/>
      <c r="H79" s="223"/>
      <c r="I79" s="229"/>
      <c r="J79" s="229"/>
      <c r="K79" s="226"/>
      <c r="L79" s="227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9" t="s">
        <v>60</v>
      </c>
      <c r="B80" s="26"/>
      <c r="C80" s="121"/>
      <c r="D80" s="107">
        <f>'[1]Summary Page 1'!$C$60</f>
        <v>197904</v>
      </c>
      <c r="E80" s="122">
        <f>[1]!F001P550SBBudgFY</f>
        <v>195667</v>
      </c>
      <c r="F80" s="208">
        <f>'[1]Summary Page 1'!$E$60</f>
        <v>0</v>
      </c>
      <c r="G80" s="209"/>
      <c r="H80" s="122">
        <f>[1]!F001P550OthBudgFY</f>
        <v>0</v>
      </c>
      <c r="I80" s="107">
        <f>D80+F80</f>
        <v>197904</v>
      </c>
      <c r="J80" s="111">
        <f>E80+H80</f>
        <v>195667</v>
      </c>
      <c r="K80" s="216">
        <f>IF(I80=J80,0,IF(I80&gt;0,(J80-I80)/I80,"--"))</f>
        <v>-1.1303460263562132E-2</v>
      </c>
      <c r="L80" s="217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3" t="s">
        <v>61</v>
      </c>
      <c r="B81" s="77"/>
      <c r="C81" s="124"/>
      <c r="D81" s="125">
        <f t="shared" ref="D81" si="8">SUM(D74:D80)+D64</f>
        <v>20400820</v>
      </c>
      <c r="E81" s="125">
        <f t="shared" ref="E81:J81" si="9">SUM(E74:E80)+E64</f>
        <v>20900859</v>
      </c>
      <c r="F81" s="210">
        <f t="shared" si="9"/>
        <v>2679169</v>
      </c>
      <c r="G81" s="211"/>
      <c r="H81" s="125">
        <f t="shared" si="9"/>
        <v>3077746</v>
      </c>
      <c r="I81" s="125">
        <f t="shared" si="9"/>
        <v>23079989</v>
      </c>
      <c r="J81" s="125">
        <f t="shared" si="9"/>
        <v>23978605</v>
      </c>
      <c r="K81" s="218">
        <f>IF(I81=J81,0,IF(I81&gt;0,(J81-I81)/I81,"--"))</f>
        <v>3.8934853911758799E-2</v>
      </c>
      <c r="L81" s="219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5"/>
      <c r="B82" s="65"/>
      <c r="C82" s="28"/>
      <c r="D82" s="126"/>
      <c r="E82" s="126"/>
      <c r="F82" s="126"/>
      <c r="G82" s="126"/>
      <c r="H82" s="126"/>
      <c r="I82" s="126"/>
      <c r="J82" s="126"/>
      <c r="K82" s="126"/>
      <c r="L82" s="127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52" t="s">
        <v>62</v>
      </c>
      <c r="B84" s="253"/>
      <c r="C84" s="253"/>
      <c r="D84" s="253"/>
      <c r="E84" s="253"/>
      <c r="F84" s="253"/>
      <c r="G84" s="254"/>
      <c r="H84" s="128"/>
      <c r="I84" s="128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98"/>
      <c r="D85" s="129"/>
      <c r="E85" s="98" t="s">
        <v>63</v>
      </c>
      <c r="F85" s="234" t="s">
        <v>64</v>
      </c>
      <c r="G85" s="240"/>
      <c r="H85" s="130"/>
      <c r="I85" s="130"/>
      <c r="J85" s="130"/>
      <c r="K85" s="130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4" t="s">
        <v>65</v>
      </c>
      <c r="D86" s="95"/>
      <c r="E86" s="98" t="s">
        <v>66</v>
      </c>
      <c r="F86" s="202" t="s">
        <v>66</v>
      </c>
      <c r="G86" s="203"/>
      <c r="H86" s="130"/>
      <c r="I86" s="130"/>
      <c r="J86" s="130"/>
      <c r="K86" s="1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1" t="s">
        <v>67</v>
      </c>
      <c r="B87" s="31"/>
      <c r="C87" s="93"/>
      <c r="D87" s="99"/>
      <c r="E87" s="98" t="s">
        <v>38</v>
      </c>
      <c r="F87" s="202" t="s">
        <v>38</v>
      </c>
      <c r="G87" s="203"/>
      <c r="H87" s="130"/>
      <c r="I87" s="130"/>
      <c r="J87" s="130"/>
      <c r="K87" s="130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1"/>
      <c r="B88" s="132"/>
      <c r="C88" s="102" t="s">
        <v>39</v>
      </c>
      <c r="D88" s="133" t="s">
        <v>31</v>
      </c>
      <c r="E88" s="102" t="s">
        <v>68</v>
      </c>
      <c r="F88" s="204" t="s">
        <v>39</v>
      </c>
      <c r="G88" s="205"/>
      <c r="H88" s="130"/>
      <c r="I88" s="130"/>
      <c r="J88" s="130"/>
      <c r="K88" s="130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4" t="s">
        <v>69</v>
      </c>
      <c r="B89" s="135"/>
      <c r="C89" s="136">
        <f>[1]!SummMOPY</f>
        <v>23079989</v>
      </c>
      <c r="D89" s="136">
        <f>[1]!SummMOBY</f>
        <v>23978605</v>
      </c>
      <c r="E89" s="134">
        <f t="shared" ref="E89:E104" si="10">D89-C89</f>
        <v>898616</v>
      </c>
      <c r="F89" s="206">
        <f t="shared" ref="F89:F104" si="11">IF(C89=D89,0,IF(C89&gt;0,E89/C89,"--"))</f>
        <v>3.8934853911758799E-2</v>
      </c>
      <c r="G89" s="207"/>
      <c r="H89" s="130"/>
      <c r="I89" s="130"/>
      <c r="J89" s="130"/>
      <c r="K89" s="130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7" t="s">
        <v>70</v>
      </c>
      <c r="B90" s="138"/>
      <c r="C90" s="139">
        <f>[1]!SummInstImprovPY</f>
        <v>0</v>
      </c>
      <c r="D90" s="139">
        <f>[1]!SummInstImprovBY</f>
        <v>0</v>
      </c>
      <c r="E90" s="134">
        <f t="shared" si="10"/>
        <v>0</v>
      </c>
      <c r="F90" s="206">
        <f t="shared" si="11"/>
        <v>0</v>
      </c>
      <c r="G90" s="207"/>
      <c r="H90" s="130"/>
      <c r="I90" s="130"/>
      <c r="J90" s="130"/>
      <c r="K90" s="13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7" t="s">
        <v>126</v>
      </c>
      <c r="B91" s="138"/>
      <c r="C91" s="139">
        <f>[1]!SummELLPY</f>
        <v>0</v>
      </c>
      <c r="D91" s="113">
        <f>[1]!SummELLBY</f>
        <v>0</v>
      </c>
      <c r="E91" s="134">
        <f t="shared" si="10"/>
        <v>0</v>
      </c>
      <c r="F91" s="206">
        <f t="shared" si="11"/>
        <v>0</v>
      </c>
      <c r="G91" s="207"/>
      <c r="H91" s="130"/>
      <c r="I91" s="130"/>
      <c r="J91" s="130"/>
      <c r="K91" s="130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7" t="s">
        <v>71</v>
      </c>
      <c r="B92" s="138"/>
      <c r="C92" s="139">
        <f>[1]!SummCompInstrPY</f>
        <v>0</v>
      </c>
      <c r="D92" s="113">
        <f>[1]!SummCompInstrBY</f>
        <v>0</v>
      </c>
      <c r="E92" s="140">
        <f t="shared" si="10"/>
        <v>0</v>
      </c>
      <c r="F92" s="187">
        <f t="shared" si="11"/>
        <v>0</v>
      </c>
      <c r="G92" s="188"/>
      <c r="H92" s="130"/>
      <c r="I92" s="130"/>
      <c r="J92" s="130"/>
      <c r="K92" s="130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1" t="s">
        <v>72</v>
      </c>
      <c r="B93" s="142"/>
      <c r="C93" s="143">
        <f>[1]!SummCSFPY</f>
        <v>4677531</v>
      </c>
      <c r="D93" s="143">
        <f>[1]!SummCSFBY</f>
        <v>4925816</v>
      </c>
      <c r="E93" s="140">
        <f t="shared" si="10"/>
        <v>248285</v>
      </c>
      <c r="F93" s="187">
        <f t="shared" si="11"/>
        <v>5.3080353716522671E-2</v>
      </c>
      <c r="G93" s="188"/>
      <c r="H93" s="130"/>
      <c r="I93" s="130"/>
      <c r="J93" s="130"/>
      <c r="K93" s="130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4" t="s">
        <v>73</v>
      </c>
      <c r="B94" s="145"/>
      <c r="C94" s="108">
        <f>[1]!SummFedProjectsPY</f>
        <v>10642000</v>
      </c>
      <c r="D94" s="108">
        <f>[1]!SummFedProjectsBY</f>
        <v>6302000</v>
      </c>
      <c r="E94" s="146">
        <f t="shared" si="10"/>
        <v>-4340000</v>
      </c>
      <c r="F94" s="187">
        <f t="shared" si="11"/>
        <v>-0.40781807930840069</v>
      </c>
      <c r="G94" s="188"/>
      <c r="H94" s="130"/>
      <c r="I94" s="130"/>
      <c r="J94" s="130"/>
      <c r="K94" s="130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7" t="s">
        <v>74</v>
      </c>
      <c r="B95" s="148"/>
      <c r="C95" s="107">
        <f>[1]!SummStateProjectsPY</f>
        <v>2600000</v>
      </c>
      <c r="D95" s="107">
        <f>[1]!SummStateProjectsBY</f>
        <v>2500000</v>
      </c>
      <c r="E95" s="109">
        <f t="shared" si="10"/>
        <v>-100000</v>
      </c>
      <c r="F95" s="187">
        <f t="shared" si="11"/>
        <v>-3.8461538461538464E-2</v>
      </c>
      <c r="G95" s="188"/>
      <c r="H95" s="130"/>
      <c r="I95" s="130"/>
      <c r="J95" s="130"/>
      <c r="K95" s="130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4" t="s">
        <v>75</v>
      </c>
      <c r="B96" s="145"/>
      <c r="C96" s="107">
        <f>[1]!SummUCOPY</f>
        <v>5521755</v>
      </c>
      <c r="D96" s="107">
        <f>[1]!SummUCOBY</f>
        <v>5784383</v>
      </c>
      <c r="E96" s="109">
        <f t="shared" si="10"/>
        <v>262628</v>
      </c>
      <c r="F96" s="187">
        <f t="shared" si="11"/>
        <v>4.7562414485974112E-2</v>
      </c>
      <c r="G96" s="188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76</v>
      </c>
      <c r="B97" s="145"/>
      <c r="C97" s="107">
        <f>[1]!SummNSFPY</f>
        <v>0</v>
      </c>
      <c r="D97" s="107">
        <f>[1]!SummNSFBY</f>
        <v>0</v>
      </c>
      <c r="E97" s="109">
        <f t="shared" si="10"/>
        <v>0</v>
      </c>
      <c r="F97" s="187">
        <f t="shared" si="11"/>
        <v>0</v>
      </c>
      <c r="G97" s="188"/>
      <c r="H97" s="130"/>
      <c r="I97" s="130"/>
      <c r="J97" s="130"/>
      <c r="K97" s="130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4" t="s">
        <v>77</v>
      </c>
      <c r="B98" s="145"/>
      <c r="C98" s="107">
        <f>[1]!SummAdjacentWaysPY</f>
        <v>0</v>
      </c>
      <c r="D98" s="107">
        <f>[1]!SummAdjacentWaysBY</f>
        <v>0</v>
      </c>
      <c r="E98" s="109">
        <f t="shared" si="10"/>
        <v>0</v>
      </c>
      <c r="F98" s="187">
        <f t="shared" si="11"/>
        <v>0</v>
      </c>
      <c r="G98" s="188"/>
      <c r="H98" s="130"/>
      <c r="I98" s="130"/>
      <c r="J98" s="130"/>
      <c r="K98" s="130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4" t="s">
        <v>78</v>
      </c>
      <c r="B99" s="145"/>
      <c r="C99" s="107">
        <f>[1]!SummDebtServicePY</f>
        <v>6952950</v>
      </c>
      <c r="D99" s="107">
        <f>[1]!SumDebtServiceBY</f>
        <v>7822813</v>
      </c>
      <c r="E99" s="109">
        <f t="shared" si="10"/>
        <v>869863</v>
      </c>
      <c r="F99" s="187">
        <f t="shared" si="11"/>
        <v>0.1251070408963102</v>
      </c>
      <c r="G99" s="188"/>
      <c r="H99" s="130"/>
      <c r="I99" s="130"/>
      <c r="J99" s="130"/>
      <c r="K99" s="130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9" t="s">
        <v>79</v>
      </c>
      <c r="B100" s="56"/>
      <c r="C100" s="113">
        <f>[1]!SummSchoolPlantPY</f>
        <v>575000</v>
      </c>
      <c r="D100" s="107">
        <f>[1]!SummSchoolPlantBY</f>
        <v>575000</v>
      </c>
      <c r="E100" s="109">
        <f t="shared" si="10"/>
        <v>0</v>
      </c>
      <c r="F100" s="187">
        <f t="shared" si="11"/>
        <v>0</v>
      </c>
      <c r="G100" s="188"/>
      <c r="H100" s="130"/>
      <c r="I100" s="130"/>
      <c r="J100" s="130"/>
      <c r="K100" s="13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4" t="s">
        <v>80</v>
      </c>
      <c r="B101" s="145"/>
      <c r="C101" s="107">
        <f>[1]!SummAuxOpsPY</f>
        <v>30000</v>
      </c>
      <c r="D101" s="107">
        <f>[1]!SummAuxOpsBY</f>
        <v>30000</v>
      </c>
      <c r="E101" s="109">
        <f t="shared" si="10"/>
        <v>0</v>
      </c>
      <c r="F101" s="187">
        <f t="shared" si="11"/>
        <v>0</v>
      </c>
      <c r="G101" s="188"/>
      <c r="H101" s="130"/>
      <c r="I101" s="130"/>
      <c r="J101" s="130"/>
      <c r="K101" s="130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4" t="s">
        <v>81</v>
      </c>
      <c r="B102" s="145"/>
      <c r="C102" s="107">
        <f>[1]!SummBondBuildingPY</f>
        <v>1500000</v>
      </c>
      <c r="D102" s="107">
        <f>[1]!SummBondBuildingBY</f>
        <v>30000000</v>
      </c>
      <c r="E102" s="109">
        <f t="shared" si="10"/>
        <v>28500000</v>
      </c>
      <c r="F102" s="187">
        <f t="shared" si="11"/>
        <v>19</v>
      </c>
      <c r="G102" s="188"/>
      <c r="H102" s="130"/>
      <c r="I102" s="130"/>
      <c r="J102" s="130"/>
      <c r="K102" s="130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4" t="s">
        <v>82</v>
      </c>
      <c r="B103" s="145"/>
      <c r="C103" s="107">
        <f>[1]!SummFoodServicePY</f>
        <v>2750000</v>
      </c>
      <c r="D103" s="107">
        <f>[1]!SummFoodServiceBY</f>
        <v>2750000</v>
      </c>
      <c r="E103" s="109">
        <f t="shared" si="10"/>
        <v>0</v>
      </c>
      <c r="F103" s="187">
        <f t="shared" si="11"/>
        <v>0</v>
      </c>
      <c r="G103" s="188"/>
      <c r="H103" s="130"/>
      <c r="I103" s="130"/>
      <c r="J103" s="130"/>
      <c r="K103" s="130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0" t="s">
        <v>36</v>
      </c>
      <c r="B104" s="151"/>
      <c r="C104" s="113">
        <f>[1]!SummOtherPY</f>
        <v>4121000</v>
      </c>
      <c r="D104" s="113">
        <f>[1]!SummOtherBY</f>
        <v>4650500</v>
      </c>
      <c r="E104" s="112">
        <f t="shared" si="10"/>
        <v>529500</v>
      </c>
      <c r="F104" s="206">
        <f t="shared" si="11"/>
        <v>0.12848823101189033</v>
      </c>
      <c r="G104" s="207"/>
      <c r="H104" s="130"/>
      <c r="I104" s="130"/>
      <c r="J104" s="130"/>
      <c r="K104" s="130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0"/>
      <c r="J105" s="130"/>
      <c r="K105" s="130"/>
      <c r="L105" s="130"/>
      <c r="M105" s="130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197" t="s">
        <v>83</v>
      </c>
      <c r="B106" s="198"/>
      <c r="C106" s="198"/>
      <c r="D106" s="198"/>
      <c r="E106" s="199"/>
      <c r="F106"/>
      <c r="G106"/>
      <c r="H106"/>
      <c r="I106"/>
      <c r="J106"/>
      <c r="K106"/>
      <c r="L106"/>
      <c r="M106" s="130"/>
      <c r="N106"/>
      <c r="O106"/>
      <c r="P106"/>
      <c r="Q106"/>
      <c r="R106"/>
      <c r="S106"/>
      <c r="T106"/>
      <c r="U106"/>
      <c r="V106"/>
      <c r="W106"/>
      <c r="X106"/>
    </row>
    <row r="107" spans="1:24" ht="13.5" thickBot="1">
      <c r="A107" s="194" t="s">
        <v>85</v>
      </c>
      <c r="B107" s="195"/>
      <c r="C107" s="196"/>
      <c r="D107" s="133" t="s">
        <v>39</v>
      </c>
      <c r="E107" s="133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1" t="s">
        <v>86</v>
      </c>
      <c r="B108" s="152"/>
      <c r="C108" s="153"/>
      <c r="D108" s="154">
        <f>[1]!SummAllDisabilityPY</f>
        <v>5321503</v>
      </c>
      <c r="E108" s="154">
        <f>[1]!SummAllDisabilityBY</f>
        <v>5617122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4" t="s">
        <v>88</v>
      </c>
      <c r="B109" s="155"/>
      <c r="C109" s="121"/>
      <c r="D109" s="111">
        <f>[1]!SummGiftedPY</f>
        <v>412994</v>
      </c>
      <c r="E109" s="111">
        <f>[1]!SummGiftedBY</f>
        <v>500000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4" t="s">
        <v>90</v>
      </c>
      <c r="B110" s="155"/>
      <c r="C110" s="121"/>
      <c r="D110" s="111">
        <f>[1]!SummRemedialPY</f>
        <v>0</v>
      </c>
      <c r="E110" s="111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6" t="s">
        <v>92</v>
      </c>
      <c r="B111" s="138"/>
      <c r="C111" s="121"/>
      <c r="D111" s="111">
        <f>[1]!SummELLIncrementalPY</f>
        <v>0</v>
      </c>
      <c r="E111" s="111">
        <f>[1]!SummELLIncrementalBY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6" t="s">
        <v>93</v>
      </c>
      <c r="B112" s="138"/>
      <c r="C112" s="121"/>
      <c r="D112" s="111">
        <f>[1]!SPEDELLCompInstrCurrFY</f>
        <v>0</v>
      </c>
      <c r="E112" s="111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4" t="s">
        <v>119</v>
      </c>
      <c r="B113" s="155"/>
      <c r="C113" s="121"/>
      <c r="D113" s="111">
        <f>[1]!SummVocandTechEdPY</f>
        <v>0</v>
      </c>
      <c r="E113" s="111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4" t="s">
        <v>121</v>
      </c>
      <c r="B114" s="155"/>
      <c r="C114" s="121"/>
      <c r="D114" s="113">
        <f>[1]!SummCareerEdPY</f>
        <v>0</v>
      </c>
      <c r="E114" s="113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5" thickBot="1">
      <c r="A115" s="156" t="s">
        <v>120</v>
      </c>
      <c r="B115" s="138"/>
      <c r="C115" s="121"/>
      <c r="D115" s="157">
        <f>[1]!SummCTEDPY</f>
        <v>0</v>
      </c>
      <c r="E115" s="157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5" thickBot="1">
      <c r="A116" s="158" t="s">
        <v>96</v>
      </c>
      <c r="B116" s="159"/>
      <c r="C116" s="160"/>
      <c r="D116" s="161">
        <f>[1]!SummSpecEdTotalPY</f>
        <v>5734497</v>
      </c>
      <c r="E116" s="161">
        <f>[1]!SummSpecEdTotalBY</f>
        <v>6117122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6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189" t="s">
        <v>84</v>
      </c>
      <c r="B118" s="190"/>
      <c r="C118" s="190"/>
      <c r="D118" s="190"/>
      <c r="E118" s="190"/>
      <c r="F118" s="190"/>
      <c r="G118" s="190"/>
      <c r="H118" s="190"/>
      <c r="I118" s="19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42.75">
      <c r="A119" s="193" t="s">
        <v>87</v>
      </c>
      <c r="B119" s="193"/>
      <c r="C119" s="193"/>
      <c r="D119" s="162" t="s">
        <v>130</v>
      </c>
      <c r="E119" s="163" t="s">
        <v>123</v>
      </c>
      <c r="F119" s="192" t="s">
        <v>124</v>
      </c>
      <c r="G119" s="192"/>
      <c r="H119" s="193" t="s">
        <v>122</v>
      </c>
      <c r="I119" s="19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4" t="s">
        <v>89</v>
      </c>
      <c r="C120" s="155"/>
      <c r="D120"/>
      <c r="E120"/>
      <c r="F120"/>
      <c r="G120" s="29"/>
      <c r="H120" s="164"/>
      <c r="I120" s="16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4" t="s">
        <v>125</v>
      </c>
      <c r="C121" s="28"/>
      <c r="D121" s="166">
        <f>[1]!ContractFTEAdmin</f>
        <v>0</v>
      </c>
      <c r="E121" s="166">
        <f>[1]!EmployeeFTEAdmin</f>
        <v>13</v>
      </c>
      <c r="F121" s="186">
        <f>[1]!TotalFTEAdmin</f>
        <v>13</v>
      </c>
      <c r="G121" s="186"/>
      <c r="H121" s="167" t="s">
        <v>91</v>
      </c>
      <c r="I121" s="168">
        <f>[1]!RatioAdmin</f>
        <v>186.5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4" t="s">
        <v>94</v>
      </c>
      <c r="C122" s="28"/>
      <c r="D122" s="166">
        <f>[1]!ContractFTETeachers</f>
        <v>0</v>
      </c>
      <c r="E122" s="166">
        <f>[1]!EmployeeFTETeachers</f>
        <v>172</v>
      </c>
      <c r="F122" s="186">
        <f>[1]!TotalFTETeachers</f>
        <v>172</v>
      </c>
      <c r="G122" s="186"/>
      <c r="H122" s="169" t="s">
        <v>91</v>
      </c>
      <c r="I122" s="168">
        <f>[1]!RatioTeachers</f>
        <v>14.1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4" t="s">
        <v>36</v>
      </c>
      <c r="C123" s="28"/>
      <c r="D123" s="166">
        <f>[1]!ContractFTECertOther</f>
        <v>0</v>
      </c>
      <c r="E123" s="166">
        <f>[1]!EmployeeFTECertOther</f>
        <v>19</v>
      </c>
      <c r="F123" s="186">
        <f>[1]!TotalFTECertOther</f>
        <v>19</v>
      </c>
      <c r="G123" s="186"/>
      <c r="H123" s="169" t="s">
        <v>91</v>
      </c>
      <c r="I123" s="168">
        <f>[1]!RatioCertOther</f>
        <v>127.6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0" t="s">
        <v>128</v>
      </c>
      <c r="D124" s="166">
        <f>[1]!ContractFTECertSubtotal</f>
        <v>0</v>
      </c>
      <c r="E124" s="166">
        <f>[1]!EmployeeFTECertSubtotal</f>
        <v>204</v>
      </c>
      <c r="F124" s="186">
        <f>[1]!TotalFTECertSubtotal</f>
        <v>204</v>
      </c>
      <c r="G124" s="186"/>
      <c r="H124" s="169" t="s">
        <v>91</v>
      </c>
      <c r="I124" s="168">
        <f>[1]!RatioCertSubtotal</f>
        <v>11.9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4" t="s">
        <v>95</v>
      </c>
      <c r="C125" s="155"/>
      <c r="D125" s="56"/>
      <c r="E125" s="56"/>
      <c r="F125" s="184"/>
      <c r="G125" s="184"/>
      <c r="H125" s="171"/>
      <c r="I125" s="16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4" t="s">
        <v>97</v>
      </c>
      <c r="C126" s="28"/>
      <c r="D126" s="166">
        <f>[1]!ContractFTEManagers</f>
        <v>0</v>
      </c>
      <c r="E126" s="166">
        <f>[1]!EmployeeFTEManagers</f>
        <v>8</v>
      </c>
      <c r="F126" s="186">
        <f>[1]!TotalFTEManagers</f>
        <v>8</v>
      </c>
      <c r="G126" s="186"/>
      <c r="H126" s="172" t="s">
        <v>91</v>
      </c>
      <c r="I126" s="168">
        <f>[1]!RatioManagers</f>
        <v>303.10000000000002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4" t="s">
        <v>98</v>
      </c>
      <c r="C127" s="28"/>
      <c r="D127" s="166">
        <f>[1]!ContractFTETeachersAids</f>
        <v>0</v>
      </c>
      <c r="E127" s="166">
        <f>[1]!EmployeeFTETeachersAides</f>
        <v>40</v>
      </c>
      <c r="F127" s="186">
        <f>[1]!TotalFTETeachersAides</f>
        <v>40</v>
      </c>
      <c r="G127" s="186"/>
      <c r="H127" s="169" t="s">
        <v>91</v>
      </c>
      <c r="I127" s="168">
        <f>[1]!RatioTeachersAides</f>
        <v>60.6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4" t="s">
        <v>36</v>
      </c>
      <c r="C128" s="28"/>
      <c r="D128" s="166">
        <f>[1]!ContractFTEClassOther</f>
        <v>0</v>
      </c>
      <c r="E128" s="166">
        <f>[1]!EmployeeFTEClassOther</f>
        <v>110</v>
      </c>
      <c r="F128" s="186">
        <f>[1]!TotalFTEClassOther</f>
        <v>110</v>
      </c>
      <c r="G128" s="186"/>
      <c r="H128" s="169" t="s">
        <v>91</v>
      </c>
      <c r="I128" s="168">
        <f>[1]!RatioClassOther</f>
        <v>22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0" t="s">
        <v>128</v>
      </c>
      <c r="D129" s="166">
        <f>[1]!ContractFTEClassSubtotal</f>
        <v>0</v>
      </c>
      <c r="E129" s="166">
        <f>[1]!EmployeeFTEClassSubtotal</f>
        <v>158</v>
      </c>
      <c r="F129" s="186">
        <f>[1]!TotalFTEClassSubtotal</f>
        <v>158</v>
      </c>
      <c r="G129" s="186"/>
      <c r="H129" s="169" t="s">
        <v>91</v>
      </c>
      <c r="I129" s="168">
        <f>[1]!RatioClassSubtotal</f>
        <v>15.3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0" t="s">
        <v>129</v>
      </c>
      <c r="D130" s="166">
        <f>[1]!ContractFTETotal</f>
        <v>0</v>
      </c>
      <c r="E130" s="166">
        <f>[1]!EmployeeFTETotal</f>
        <v>362</v>
      </c>
      <c r="F130" s="186">
        <f>[1]!TotalFTETotal</f>
        <v>362</v>
      </c>
      <c r="G130" s="186"/>
      <c r="H130" s="169" t="s">
        <v>91</v>
      </c>
      <c r="I130" s="168">
        <f>[1]!RatioTotal</f>
        <v>6.7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0"/>
      <c r="C131" s="171"/>
      <c r="D131" s="56"/>
      <c r="E131" s="56"/>
      <c r="F131" s="184"/>
      <c r="G131" s="184"/>
      <c r="H131" s="173"/>
      <c r="I131" s="17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0" t="s">
        <v>99</v>
      </c>
      <c r="C132" s="171"/>
      <c r="D132" s="56"/>
      <c r="E132" s="56"/>
      <c r="F132" s="184"/>
      <c r="G132" s="184"/>
      <c r="H132" s="173"/>
      <c r="I132" s="17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0" t="s">
        <v>100</v>
      </c>
      <c r="C133" s="155"/>
      <c r="D133" s="176">
        <f>[1]!ContractFTESpecEdTeacher</f>
        <v>0</v>
      </c>
      <c r="E133" s="176">
        <f>[1]!EmployeeFTESpecEdTeacher</f>
        <v>20</v>
      </c>
      <c r="F133" s="185">
        <f>[1]!TotalFTESpecEdTeacher</f>
        <v>20</v>
      </c>
      <c r="G133" s="185"/>
      <c r="H133" s="177" t="s">
        <v>101</v>
      </c>
      <c r="I133" s="178">
        <f>[1]!SPEDTeacher</f>
        <v>12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79" t="s">
        <v>102</v>
      </c>
      <c r="B134" s="78"/>
      <c r="C134" s="180"/>
      <c r="D134" s="176">
        <f>[1]!ContractFTESpecEdStaff</f>
        <v>0</v>
      </c>
      <c r="E134" s="176">
        <f>[1]!EmployeeFTESpecEdStaff</f>
        <v>28</v>
      </c>
      <c r="F134" s="185">
        <f>[1]!TotalFTESpecEdStaff</f>
        <v>28</v>
      </c>
      <c r="G134" s="185"/>
      <c r="H134" s="177" t="s">
        <v>101</v>
      </c>
      <c r="I134" s="181">
        <f>[1]!SPEDStaff</f>
        <v>15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formatCells="0" formatColumns="0" formatRows="0"/>
  <mergeCells count="161"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</mergeCells>
  <dataValidations xWindow="730" yWindow="350" count="2">
    <dataValidation type="decimal" operator="greaterThanOrEqual" allowBlank="1" showInputMessage="1" showErrorMessage="1" errorTitle="Error" error="Value must be a number." sqref="C32:E32">
      <formula1>0</formula1>
    </dataValidation>
    <dataValidation operator="notEqual" allowBlank="1" showInputMessage="1" showErrorMessage="1" promptTitle="Time" prompt="Please enter time including AM/PM" sqref="H5:I5"/>
  </dataValidations>
  <hyperlinks>
    <hyperlink ref="A29" r:id="rId1" display="1.  Student Count"/>
  </hyperlinks>
  <printOptions horizontalCentered="1"/>
  <pageMargins left="0.25" right="0.25" top="0.25" bottom="0.25" header="0.5" footer="0.25"/>
  <pageSetup scale="90" fitToHeight="0" orientation="portrait" r:id="rId2"/>
  <headerFooter alignWithMargins="0">
    <oddFooter>&amp;L&amp;"Times New Roman,Bold"&amp;9Rev. 5/24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f69ac7c7-1a2e-46bd-a988-685139f8f258"/>
    <ds:schemaRef ds:uri="http://schemas.microsoft.com/office/infopath/2007/PartnerControls"/>
    <ds:schemaRef ds:uri="http://www.w3.org/XML/1998/namespace"/>
    <ds:schemaRef ds:uri="87488a3f-9ace-46de-933a-7899c85ffeab"/>
    <ds:schemaRef ds:uri="http://schemas.openxmlformats.org/package/2006/metadata/core-properties"/>
    <ds:schemaRef ds:uri="73d57025-ee5d-49b6-a60b-7d33184acc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BB4F38B-0799-4886-B61C-8DBB46B47F73}">
  <ds:schemaRefs>
    <ds:schemaRef ds:uri="http://schemas.microsoft.com/office/infopath/2007/PartnerControls"/>
    <ds:schemaRef ds:uri="http://schemas.openxmlformats.org/package/2006/metadata/core-properties"/>
    <ds:schemaRef ds:uri="73d57025-ee5d-49b6-a60b-7d33184acc89"/>
    <ds:schemaRef ds:uri="http://purl.org/dc/dcmitype/"/>
    <ds:schemaRef ds:uri="87488a3f-9ace-46de-933a-7899c85ffeab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f69ac7c7-1a2e-46bd-a988-685139f8f258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Colleen McCabe Toscano</cp:lastModifiedBy>
  <cp:lastPrinted>2024-05-16T20:21:52Z</cp:lastPrinted>
  <dcterms:created xsi:type="dcterms:W3CDTF">2006-05-14T13:29:21Z</dcterms:created>
  <dcterms:modified xsi:type="dcterms:W3CDTF">2024-06-28T06:45:48Z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1E8E6549-8EE6-49BE-8704-F2AFCEC310A2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